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embeddings/oleObject4.bin" ContentType="application/vnd.openxmlformats-officedocument.oleObject"/>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embeddings/oleObject2.bin" ContentType="application/vnd.openxmlformats-officedocument.oleObject"/>
  <Override PartName="/xl/comments4.xml" ContentType="application/vnd.openxmlformats-officedocument.spreadsheetml.comments+xml"/>
  <Override PartName="/xl/worksheets/sheet3.xml" ContentType="application/vnd.openxmlformats-officedocument.spreadsheetml.worksheet+xml"/>
  <Override PartName="/xl/drawings/drawing13.xml" ContentType="application/vnd.openxmlformats-officedocument.drawing+xml"/>
  <Override PartName="/xl/charts/chart18.xml" ContentType="application/vnd.openxmlformats-officedocument.drawingml.chart+xml"/>
  <Override PartName="/xl/charts/chart27.xml" ContentType="application/vnd.openxmlformats-officedocument.drawingml.char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harts/chart16.xml" ContentType="application/vnd.openxmlformats-officedocument.drawingml.chart+xml"/>
  <Override PartName="/xl/charts/chart25.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png" ContentType="image/png"/>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emf" ContentType="image/x-emf"/>
  <Override PartName="/xl/embeddings/oleObject3.bin" ContentType="application/vnd.openxmlformats-officedocument.oleObject"/>
  <Override PartName="/xl/drawings/drawing5.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omments3.xml" ContentType="application/vnd.openxmlformats-officedocument.spreadsheetml.comments+xml"/>
  <Default Extension="gif" ContentType="image/gif"/>
  <Default Extension="vml" ContentType="application/vnd.openxmlformats-officedocument.vmlDrawing"/>
  <Override PartName="/xl/drawings/drawing12.xml" ContentType="application/vnd.openxmlformats-officedocument.drawing+xml"/>
  <Override PartName="/xl/comments1.xml" ContentType="application/vnd.openxmlformats-officedocument.spreadsheetml.comments+xml"/>
  <Override PartName="/xl/charts/chart17.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5" windowWidth="9885" windowHeight="9390" tabRatio="786"/>
  </bookViews>
  <sheets>
    <sheet name="Directions" sheetId="15" r:id="rId1"/>
    <sheet name="README" sheetId="14" r:id="rId2"/>
    <sheet name="Start" sheetId="1" r:id="rId3"/>
    <sheet name="Scenario" sheetId="2" r:id="rId4"/>
    <sheet name="New SRA Settings" sheetId="5" r:id="rId5"/>
    <sheet name="New SRA Environment" sheetId="16" r:id="rId6"/>
    <sheet name="New SRA Recommendations" sheetId="17" r:id="rId7"/>
    <sheet name="New ERA Settings" sheetId="18" r:id="rId8"/>
    <sheet name="New ERA Environment" sheetId="19" r:id="rId9"/>
    <sheet name="New ERA Recommendations" sheetId="21" r:id="rId10"/>
    <sheet name="Existing SRA Recommendations" sheetId="24" r:id="rId11"/>
    <sheet name="Existing ERA Recommendations" sheetId="30" r:id="rId12"/>
    <sheet name="Resources" sheetId="32" r:id="rId13"/>
    <sheet name="Values" sheetId="10" state="hidden" r:id="rId14"/>
    <sheet name="Edge Data" sheetId="11" state="hidden" r:id="rId15"/>
    <sheet name="SRA Data" sheetId="31" state="hidden" r:id="rId16"/>
    <sheet name="ERA Data" sheetId="13" state="hidden" r:id="rId17"/>
  </sheets>
  <externalReferences>
    <externalReference r:id="rId18"/>
  </externalReferences>
  <definedNames>
    <definedName name="EdgeASEnabled">[1]Values!$D$3:$D$4</definedName>
    <definedName name="EdgeAVEngines">[1]Values!$A$3:$A$6</definedName>
    <definedName name="EdgeQEnabled">[1]Values!$B$3:$B$4</definedName>
    <definedName name="OLE_LINK1" localSheetId="8">'New ERA Environment'!$A$25</definedName>
  </definedNames>
  <calcPr calcId="125725"/>
</workbook>
</file>

<file path=xl/calcChain.xml><?xml version="1.0" encoding="utf-8"?>
<calcChain xmlns="http://schemas.openxmlformats.org/spreadsheetml/2006/main">
  <c r="I35" i="17"/>
  <c r="F19" i="1"/>
  <c r="F23"/>
  <c r="F21"/>
  <c r="F17"/>
  <c r="BF70" i="10"/>
  <c r="BG70"/>
  <c r="BH70"/>
  <c r="BI70"/>
  <c r="BJ70"/>
  <c r="BK70"/>
  <c r="BL70"/>
  <c r="BF71"/>
  <c r="BG71"/>
  <c r="BH71"/>
  <c r="BI71"/>
  <c r="BJ71"/>
  <c r="BK71"/>
  <c r="BL71"/>
  <c r="BG69"/>
  <c r="BH69"/>
  <c r="BI69"/>
  <c r="BJ69"/>
  <c r="BK69"/>
  <c r="BL69"/>
  <c r="BF69"/>
  <c r="AV66"/>
  <c r="AW66"/>
  <c r="AX66"/>
  <c r="AY66"/>
  <c r="AZ66"/>
  <c r="BA66"/>
  <c r="BB66"/>
  <c r="AV67"/>
  <c r="AW67"/>
  <c r="AX67"/>
  <c r="AY67"/>
  <c r="AZ67"/>
  <c r="BA67"/>
  <c r="BB67"/>
  <c r="BB65"/>
  <c r="BA65"/>
  <c r="AZ65"/>
  <c r="AY65"/>
  <c r="AX65"/>
  <c r="AW65"/>
  <c r="AV65"/>
  <c r="BF66"/>
  <c r="BG66"/>
  <c r="BH66"/>
  <c r="BI66"/>
  <c r="BJ66"/>
  <c r="BK66"/>
  <c r="BL66"/>
  <c r="BF67"/>
  <c r="BG67"/>
  <c r="BH67"/>
  <c r="BI67"/>
  <c r="BJ67"/>
  <c r="BK67"/>
  <c r="BL67"/>
  <c r="BL65"/>
  <c r="BK65"/>
  <c r="BJ65"/>
  <c r="BI65"/>
  <c r="BH65"/>
  <c r="BG65"/>
  <c r="BF65"/>
  <c r="AO26"/>
  <c r="AO27"/>
  <c r="AO28"/>
  <c r="AO29"/>
  <c r="AO30"/>
  <c r="AO31"/>
  <c r="AO32"/>
  <c r="AO33"/>
  <c r="AO34"/>
  <c r="CC9"/>
  <c r="CC27" s="1"/>
  <c r="CC10"/>
  <c r="CC28" s="1"/>
  <c r="CC11"/>
  <c r="CC29" s="1"/>
  <c r="CC12"/>
  <c r="CC30" s="1"/>
  <c r="CC13"/>
  <c r="CC14"/>
  <c r="CC15"/>
  <c r="CC16"/>
  <c r="CC17"/>
  <c r="CC18"/>
  <c r="CC19"/>
  <c r="CC20"/>
  <c r="CC21"/>
  <c r="CC22"/>
  <c r="CC8"/>
  <c r="CC26" s="1"/>
  <c r="BI9"/>
  <c r="BI27" s="1"/>
  <c r="BI10"/>
  <c r="BI28" s="1"/>
  <c r="BI11"/>
  <c r="BI29" s="1"/>
  <c r="BI12"/>
  <c r="BI30" s="1"/>
  <c r="BI13"/>
  <c r="BI31" s="1"/>
  <c r="BI14"/>
  <c r="BI32" s="1"/>
  <c r="BI15"/>
  <c r="BI33" s="1"/>
  <c r="BI16"/>
  <c r="BI34" s="1"/>
  <c r="BI17"/>
  <c r="BI35" s="1"/>
  <c r="BI18"/>
  <c r="BI36" s="1"/>
  <c r="BI19"/>
  <c r="BI37" s="1"/>
  <c r="BI20"/>
  <c r="BI38" s="1"/>
  <c r="BI21"/>
  <c r="BI39" s="1"/>
  <c r="BI22"/>
  <c r="BI40" s="1"/>
  <c r="BI8"/>
  <c r="BI26" s="1"/>
  <c r="BH9"/>
  <c r="BH27" s="1"/>
  <c r="BH10"/>
  <c r="BH28" s="1"/>
  <c r="BH11"/>
  <c r="BH29" s="1"/>
  <c r="BH12"/>
  <c r="BH30" s="1"/>
  <c r="BH13"/>
  <c r="BH31" s="1"/>
  <c r="BH14"/>
  <c r="BH32" s="1"/>
  <c r="BH15"/>
  <c r="BH33" s="1"/>
  <c r="BH16"/>
  <c r="BH34" s="1"/>
  <c r="BH17"/>
  <c r="BH35" s="1"/>
  <c r="BH18"/>
  <c r="BH36" s="1"/>
  <c r="BH19"/>
  <c r="BH37" s="1"/>
  <c r="BH20"/>
  <c r="BH38" s="1"/>
  <c r="BH21"/>
  <c r="BH39" s="1"/>
  <c r="BH22"/>
  <c r="BH40" s="1"/>
  <c r="BH8"/>
  <c r="BH26" s="1"/>
  <c r="BG9"/>
  <c r="BG27" s="1"/>
  <c r="BG10"/>
  <c r="BG28" s="1"/>
  <c r="BG11"/>
  <c r="BG29" s="1"/>
  <c r="BG12"/>
  <c r="BG30" s="1"/>
  <c r="BG13"/>
  <c r="BG31" s="1"/>
  <c r="BG14"/>
  <c r="BG32" s="1"/>
  <c r="BG15"/>
  <c r="BG33" s="1"/>
  <c r="BG16"/>
  <c r="BG34" s="1"/>
  <c r="BG17"/>
  <c r="BG35" s="1"/>
  <c r="BG18"/>
  <c r="BG36" s="1"/>
  <c r="BG19"/>
  <c r="BG37" s="1"/>
  <c r="BG20"/>
  <c r="BG38" s="1"/>
  <c r="BG21"/>
  <c r="BG39" s="1"/>
  <c r="BG22"/>
  <c r="BG40" s="1"/>
  <c r="BG8"/>
  <c r="BG26" s="1"/>
  <c r="BF9"/>
  <c r="BF27" s="1"/>
  <c r="BF10"/>
  <c r="BF28" s="1"/>
  <c r="BF11"/>
  <c r="BF29" s="1"/>
  <c r="BF12"/>
  <c r="BF30" s="1"/>
  <c r="BF13"/>
  <c r="BF31" s="1"/>
  <c r="BF14"/>
  <c r="BF32" s="1"/>
  <c r="BF15"/>
  <c r="BF33" s="1"/>
  <c r="BF16"/>
  <c r="BF34" s="1"/>
  <c r="BF17"/>
  <c r="BF35" s="1"/>
  <c r="BF18"/>
  <c r="BF36" s="1"/>
  <c r="BF19"/>
  <c r="BF37" s="1"/>
  <c r="BF20"/>
  <c r="BF38" s="1"/>
  <c r="BF21"/>
  <c r="BF39" s="1"/>
  <c r="BF22"/>
  <c r="BF40" s="1"/>
  <c r="BF8"/>
  <c r="BF26" s="1"/>
  <c r="BD9" l="1"/>
  <c r="BD10"/>
  <c r="BD11"/>
  <c r="BD12"/>
  <c r="BD13"/>
  <c r="BD14"/>
  <c r="BD15"/>
  <c r="BD16"/>
  <c r="BD17"/>
  <c r="BD18"/>
  <c r="BD19"/>
  <c r="BD20"/>
  <c r="BD21"/>
  <c r="BD22"/>
  <c r="BD8"/>
  <c r="BC9"/>
  <c r="BC10"/>
  <c r="BC11"/>
  <c r="BC12"/>
  <c r="BC13"/>
  <c r="BC14"/>
  <c r="BC15"/>
  <c r="BC16"/>
  <c r="BC17"/>
  <c r="BC18"/>
  <c r="BC19"/>
  <c r="BC20"/>
  <c r="BC21"/>
  <c r="BC22"/>
  <c r="BC8"/>
  <c r="BB9"/>
  <c r="BB10"/>
  <c r="BB11"/>
  <c r="BB12"/>
  <c r="BB13"/>
  <c r="BB14"/>
  <c r="BB15"/>
  <c r="BB16"/>
  <c r="BB17"/>
  <c r="BB18"/>
  <c r="BB19"/>
  <c r="BB20"/>
  <c r="BB21"/>
  <c r="BB22"/>
  <c r="BB8"/>
  <c r="BA9"/>
  <c r="BA10"/>
  <c r="BA11"/>
  <c r="BA12"/>
  <c r="BA13"/>
  <c r="BA14"/>
  <c r="BA15"/>
  <c r="BA16"/>
  <c r="BA17"/>
  <c r="BA18"/>
  <c r="BA19"/>
  <c r="BA20"/>
  <c r="BA21"/>
  <c r="BA22"/>
  <c r="BA8"/>
  <c r="U79" l="1"/>
  <c r="BV9"/>
  <c r="BW9"/>
  <c r="BX9"/>
  <c r="BV10"/>
  <c r="BW10"/>
  <c r="BX10"/>
  <c r="BV11"/>
  <c r="BW11"/>
  <c r="BX11"/>
  <c r="BV12"/>
  <c r="BW12"/>
  <c r="BX12"/>
  <c r="BX8"/>
  <c r="BW8"/>
  <c r="BV8"/>
  <c r="BU9"/>
  <c r="BU10"/>
  <c r="BU11"/>
  <c r="BU12"/>
  <c r="BU8"/>
  <c r="BP9"/>
  <c r="BP27" s="1"/>
  <c r="BQ9"/>
  <c r="BQ27" s="1"/>
  <c r="BR9"/>
  <c r="BR27" s="1"/>
  <c r="BS9"/>
  <c r="BS27" s="1"/>
  <c r="BP10"/>
  <c r="BP28" s="1"/>
  <c r="BQ10"/>
  <c r="BQ28" s="1"/>
  <c r="BR10"/>
  <c r="BR28" s="1"/>
  <c r="BS10"/>
  <c r="BS28" s="1"/>
  <c r="BP11"/>
  <c r="BP29" s="1"/>
  <c r="BQ11"/>
  <c r="BQ29" s="1"/>
  <c r="BR11"/>
  <c r="BR29" s="1"/>
  <c r="BS11"/>
  <c r="BS29" s="1"/>
  <c r="BP12"/>
  <c r="BP30" s="1"/>
  <c r="BQ12"/>
  <c r="BQ30" s="1"/>
  <c r="BR12"/>
  <c r="BR30" s="1"/>
  <c r="BS12"/>
  <c r="BS30" s="1"/>
  <c r="BP13"/>
  <c r="BP31" s="1"/>
  <c r="BQ13"/>
  <c r="BQ31" s="1"/>
  <c r="BR13"/>
  <c r="BR31" s="1"/>
  <c r="BS13"/>
  <c r="BS31" s="1"/>
  <c r="BP14"/>
  <c r="BP32" s="1"/>
  <c r="BQ14"/>
  <c r="BQ32" s="1"/>
  <c r="BR14"/>
  <c r="BR32" s="1"/>
  <c r="BS14"/>
  <c r="BS32" s="1"/>
  <c r="BP15"/>
  <c r="BP33" s="1"/>
  <c r="BQ15"/>
  <c r="BQ33" s="1"/>
  <c r="BR15"/>
  <c r="BR33" s="1"/>
  <c r="BS15"/>
  <c r="BS33" s="1"/>
  <c r="BP16"/>
  <c r="BP34" s="1"/>
  <c r="BQ16"/>
  <c r="BQ34" s="1"/>
  <c r="BR16"/>
  <c r="BR34" s="1"/>
  <c r="BS16"/>
  <c r="BS34" s="1"/>
  <c r="BP17"/>
  <c r="BP35" s="1"/>
  <c r="BQ17"/>
  <c r="BQ35" s="1"/>
  <c r="BR17"/>
  <c r="BR35" s="1"/>
  <c r="BS17"/>
  <c r="BS35" s="1"/>
  <c r="BP18"/>
  <c r="BP36" s="1"/>
  <c r="BQ18"/>
  <c r="BQ36" s="1"/>
  <c r="BR18"/>
  <c r="BR36" s="1"/>
  <c r="BS18"/>
  <c r="BS36" s="1"/>
  <c r="BP19"/>
  <c r="BP37" s="1"/>
  <c r="BQ19"/>
  <c r="BQ37" s="1"/>
  <c r="BR19"/>
  <c r="BR37" s="1"/>
  <c r="BS19"/>
  <c r="BS37" s="1"/>
  <c r="BP20"/>
  <c r="BP38" s="1"/>
  <c r="BQ20"/>
  <c r="BQ38" s="1"/>
  <c r="BR20"/>
  <c r="BR38" s="1"/>
  <c r="BS20"/>
  <c r="BS38" s="1"/>
  <c r="BP21"/>
  <c r="BP39" s="1"/>
  <c r="BQ21"/>
  <c r="BQ39" s="1"/>
  <c r="BR21"/>
  <c r="BR39" s="1"/>
  <c r="BS21"/>
  <c r="BS39" s="1"/>
  <c r="BP22"/>
  <c r="BP40" s="1"/>
  <c r="BQ22"/>
  <c r="BQ40" s="1"/>
  <c r="BR22"/>
  <c r="BR40" s="1"/>
  <c r="BS22"/>
  <c r="BS40" s="1"/>
  <c r="BS8"/>
  <c r="BS26" s="1"/>
  <c r="BR8"/>
  <c r="BR26" s="1"/>
  <c r="BQ8"/>
  <c r="BQ26" s="1"/>
  <c r="BP8"/>
  <c r="BP26" s="1"/>
  <c r="AY9"/>
  <c r="AY27" s="1"/>
  <c r="AY10"/>
  <c r="AY28" s="1"/>
  <c r="AY11"/>
  <c r="AY29" s="1"/>
  <c r="AY12"/>
  <c r="AY30" s="1"/>
  <c r="AY13"/>
  <c r="AY31" s="1"/>
  <c r="AY14"/>
  <c r="AY32" s="1"/>
  <c r="AY15"/>
  <c r="AY33" s="1"/>
  <c r="AY16"/>
  <c r="AY34" s="1"/>
  <c r="AY8"/>
  <c r="AY26" s="1"/>
  <c r="AX9" l="1"/>
  <c r="AX27" s="1"/>
  <c r="AX10"/>
  <c r="AX28" s="1"/>
  <c r="AX11"/>
  <c r="AX29" s="1"/>
  <c r="AX12"/>
  <c r="AX30" s="1"/>
  <c r="AX13"/>
  <c r="AX31" s="1"/>
  <c r="AX14"/>
  <c r="AX32" s="1"/>
  <c r="AX15"/>
  <c r="AX33" s="1"/>
  <c r="AX16"/>
  <c r="AX34" s="1"/>
  <c r="AX8"/>
  <c r="AX26" s="1"/>
  <c r="AW9"/>
  <c r="AW27" s="1"/>
  <c r="AW10"/>
  <c r="AW28" s="1"/>
  <c r="AW11"/>
  <c r="AW29" s="1"/>
  <c r="AW12"/>
  <c r="AW30" s="1"/>
  <c r="AW13"/>
  <c r="AW31" s="1"/>
  <c r="AW14"/>
  <c r="AW32" s="1"/>
  <c r="AW15"/>
  <c r="AW33" s="1"/>
  <c r="AW16"/>
  <c r="AW34" s="1"/>
  <c r="AW8"/>
  <c r="AW26" s="1"/>
  <c r="AV9"/>
  <c r="AV27" s="1"/>
  <c r="AV10"/>
  <c r="AV28" s="1"/>
  <c r="AV11"/>
  <c r="AV29" s="1"/>
  <c r="AV12"/>
  <c r="AV30" s="1"/>
  <c r="AV13"/>
  <c r="AV31" s="1"/>
  <c r="AV14"/>
  <c r="AV32" s="1"/>
  <c r="AV15"/>
  <c r="AV33" s="1"/>
  <c r="AV16"/>
  <c r="AV34" s="1"/>
  <c r="AV8"/>
  <c r="AV26" s="1"/>
  <c r="F20" i="17"/>
  <c r="D6" i="10"/>
  <c r="E32" i="19"/>
  <c r="E31"/>
  <c r="H35" i="21"/>
  <c r="R45" i="10"/>
  <c r="AS10" l="1"/>
  <c r="AT34"/>
  <c r="AR34"/>
  <c r="AT33"/>
  <c r="AR33"/>
  <c r="AT32"/>
  <c r="AR32"/>
  <c r="AT31"/>
  <c r="AR31"/>
  <c r="AT30"/>
  <c r="AR30"/>
  <c r="AT29"/>
  <c r="AR29"/>
  <c r="AT28"/>
  <c r="AR28"/>
  <c r="AT27"/>
  <c r="AR27"/>
  <c r="AT26"/>
  <c r="AR26"/>
  <c r="AQ26"/>
  <c r="AS34"/>
  <c r="AQ34"/>
  <c r="AS33"/>
  <c r="AQ33"/>
  <c r="AS32"/>
  <c r="AQ32"/>
  <c r="AS31"/>
  <c r="AQ31"/>
  <c r="AS30"/>
  <c r="AQ30"/>
  <c r="AS29"/>
  <c r="AQ29"/>
  <c r="AS28"/>
  <c r="AQ28"/>
  <c r="AS27"/>
  <c r="AQ27"/>
  <c r="AS26"/>
  <c r="AQ8"/>
  <c r="AT12"/>
  <c r="AT16"/>
  <c r="AT22"/>
  <c r="AT9"/>
  <c r="AT11"/>
  <c r="AT13"/>
  <c r="AT15"/>
  <c r="AT17"/>
  <c r="AT19"/>
  <c r="AT21"/>
  <c r="AT8"/>
  <c r="AT10"/>
  <c r="AT14"/>
  <c r="AT18"/>
  <c r="AT20"/>
  <c r="AQ21"/>
  <c r="AQ19"/>
  <c r="AQ17"/>
  <c r="AQ15"/>
  <c r="AQ13"/>
  <c r="AQ11"/>
  <c r="AQ9"/>
  <c r="AR22"/>
  <c r="AR20"/>
  <c r="AR18"/>
  <c r="AR16"/>
  <c r="AR14"/>
  <c r="AR12"/>
  <c r="AR10"/>
  <c r="AS8"/>
  <c r="AS21"/>
  <c r="AS19"/>
  <c r="AS17"/>
  <c r="AS15"/>
  <c r="AS13"/>
  <c r="AS11"/>
  <c r="AS9"/>
  <c r="AQ22"/>
  <c r="AQ20"/>
  <c r="AQ18"/>
  <c r="AQ16"/>
  <c r="AQ14"/>
  <c r="AQ12"/>
  <c r="AQ10"/>
  <c r="AR8"/>
  <c r="AR21"/>
  <c r="AR19"/>
  <c r="AR17"/>
  <c r="AR15"/>
  <c r="AR13"/>
  <c r="AR11"/>
  <c r="AR9"/>
  <c r="AS22"/>
  <c r="AS20"/>
  <c r="AS18"/>
  <c r="AS16"/>
  <c r="AS14"/>
  <c r="AS12"/>
  <c r="AA26"/>
  <c r="AA25"/>
  <c r="AA27"/>
  <c r="AE44"/>
  <c r="L80" l="1"/>
  <c r="K80"/>
  <c r="R19"/>
  <c r="Q19"/>
  <c r="R18"/>
  <c r="Q18"/>
  <c r="Q10"/>
  <c r="K85" s="1"/>
  <c r="S95"/>
  <c r="V88"/>
  <c r="S94"/>
  <c r="T94"/>
  <c r="S89"/>
  <c r="S88"/>
  <c r="X93" l="1"/>
  <c r="Y93"/>
  <c r="X83"/>
  <c r="X82"/>
  <c r="X81"/>
  <c r="X80"/>
  <c r="X79"/>
  <c r="BK12" l="1"/>
  <c r="BK16"/>
  <c r="BK20"/>
  <c r="BK9"/>
  <c r="BK13"/>
  <c r="BK17"/>
  <c r="BK21"/>
  <c r="BM10"/>
  <c r="BM14"/>
  <c r="BM18"/>
  <c r="BM22"/>
  <c r="BM11"/>
  <c r="BM15"/>
  <c r="BM19"/>
  <c r="BM8"/>
  <c r="T76"/>
  <c r="Y90"/>
  <c r="Y89"/>
  <c r="X90"/>
  <c r="W82"/>
  <c r="BM12" s="1"/>
  <c r="W81"/>
  <c r="BL11" s="1"/>
  <c r="W80"/>
  <c r="X89" s="1"/>
  <c r="W79"/>
  <c r="BN9" s="1"/>
  <c r="U88"/>
  <c r="T88"/>
  <c r="U81"/>
  <c r="U82"/>
  <c r="U80"/>
  <c r="T89" s="1"/>
  <c r="BL22" l="1"/>
  <c r="BL18"/>
  <c r="BL14"/>
  <c r="BL10"/>
  <c r="BL21"/>
  <c r="BL17"/>
  <c r="BL13"/>
  <c r="BL9"/>
  <c r="BN20"/>
  <c r="BN16"/>
  <c r="BN12"/>
  <c r="BN8"/>
  <c r="BN19"/>
  <c r="BN15"/>
  <c r="BN11"/>
  <c r="BM21"/>
  <c r="BM17"/>
  <c r="BM13"/>
  <c r="BM9"/>
  <c r="BM20"/>
  <c r="BM16"/>
  <c r="BK8"/>
  <c r="BK19"/>
  <c r="BK15"/>
  <c r="BK11"/>
  <c r="BK22"/>
  <c r="BK18"/>
  <c r="BK14"/>
  <c r="BK10"/>
  <c r="BL20"/>
  <c r="BL16"/>
  <c r="BL12"/>
  <c r="BL8"/>
  <c r="BL19"/>
  <c r="BL15"/>
  <c r="BN22"/>
  <c r="BN18"/>
  <c r="BN14"/>
  <c r="BN10"/>
  <c r="BN21"/>
  <c r="BN17"/>
  <c r="BN13"/>
  <c r="BZ9"/>
  <c r="BZ27" s="1"/>
  <c r="CB9"/>
  <c r="CB27" s="1"/>
  <c r="CA10"/>
  <c r="CA28" s="1"/>
  <c r="BZ11"/>
  <c r="BZ29" s="1"/>
  <c r="CB11"/>
  <c r="CB29" s="1"/>
  <c r="CA12"/>
  <c r="CA30" s="1"/>
  <c r="BZ13"/>
  <c r="CB13"/>
  <c r="CA14"/>
  <c r="BZ15"/>
  <c r="CB15"/>
  <c r="CA16"/>
  <c r="BZ17"/>
  <c r="CB17"/>
  <c r="CA18"/>
  <c r="BZ19"/>
  <c r="CB19"/>
  <c r="CA20"/>
  <c r="BZ21"/>
  <c r="CB21"/>
  <c r="CA22"/>
  <c r="CB8"/>
  <c r="CB26" s="1"/>
  <c r="BZ8"/>
  <c r="BZ26" s="1"/>
  <c r="CA9"/>
  <c r="CA27" s="1"/>
  <c r="BZ10"/>
  <c r="BZ28" s="1"/>
  <c r="CB10"/>
  <c r="CB28" s="1"/>
  <c r="CA11"/>
  <c r="CA29" s="1"/>
  <c r="BZ12"/>
  <c r="BZ30" s="1"/>
  <c r="CB12"/>
  <c r="CB30" s="1"/>
  <c r="CA13"/>
  <c r="BZ14"/>
  <c r="CB14"/>
  <c r="CA15"/>
  <c r="BZ16"/>
  <c r="CB16"/>
  <c r="CA17"/>
  <c r="BZ18"/>
  <c r="CB18"/>
  <c r="CA19"/>
  <c r="BZ20"/>
  <c r="CB20"/>
  <c r="CA21"/>
  <c r="BZ22"/>
  <c r="CB22"/>
  <c r="CA8"/>
  <c r="CA26" s="1"/>
  <c r="T91"/>
  <c r="T92" s="1"/>
  <c r="T96" s="1"/>
  <c r="Z23"/>
  <c r="Y23"/>
  <c r="P19" l="1"/>
  <c r="P18"/>
  <c r="O19"/>
  <c r="O18"/>
  <c r="T52"/>
  <c r="T53"/>
  <c r="T54"/>
  <c r="T51"/>
  <c r="K82" l="1"/>
  <c r="Y26"/>
  <c r="L82"/>
  <c r="Z26"/>
  <c r="Y25"/>
  <c r="K83"/>
  <c r="Z25"/>
  <c r="L83"/>
  <c r="AD65" i="31"/>
  <c r="AD64"/>
  <c r="AD63"/>
  <c r="AD62"/>
  <c r="AD61"/>
  <c r="AD60"/>
  <c r="AC65"/>
  <c r="AC64"/>
  <c r="AC63"/>
  <c r="AC62"/>
  <c r="AC61"/>
  <c r="AC60"/>
  <c r="F32" i="16"/>
  <c r="F31"/>
  <c r="P29" i="10"/>
  <c r="O29"/>
  <c r="AD55" i="31"/>
  <c r="AD54"/>
  <c r="AC55"/>
  <c r="AC54"/>
  <c r="AC51"/>
  <c r="AC50"/>
  <c r="AC49"/>
  <c r="AC48"/>
  <c r="AC47"/>
  <c r="AC46"/>
  <c r="Q29" i="10" l="1"/>
  <c r="R29"/>
  <c r="P28"/>
  <c r="O28"/>
  <c r="O27"/>
  <c r="P27"/>
  <c r="M56"/>
  <c r="M54"/>
  <c r="W17"/>
  <c r="O10"/>
  <c r="Y28" s="1"/>
  <c r="N33" i="11"/>
  <c r="N32"/>
  <c r="N31"/>
  <c r="N30"/>
  <c r="N29"/>
  <c r="N28"/>
  <c r="N27"/>
  <c r="N26"/>
  <c r="N25"/>
  <c r="N24"/>
  <c r="N23"/>
  <c r="N22"/>
  <c r="N21"/>
  <c r="N20"/>
  <c r="N19"/>
  <c r="N18"/>
  <c r="N17"/>
  <c r="N16"/>
  <c r="N15"/>
  <c r="N14"/>
  <c r="N13"/>
  <c r="N12"/>
  <c r="N11"/>
  <c r="N10"/>
  <c r="N9"/>
  <c r="N8"/>
  <c r="N7"/>
  <c r="N6"/>
  <c r="N5"/>
  <c r="N4"/>
  <c r="AA57" i="31"/>
  <c r="Z57"/>
  <c r="AA56"/>
  <c r="Z56"/>
  <c r="AA55"/>
  <c r="Z55"/>
  <c r="AA54"/>
  <c r="Z54"/>
  <c r="AA53"/>
  <c r="Z53"/>
  <c r="AA52"/>
  <c r="Z52"/>
  <c r="AA51"/>
  <c r="Z51"/>
  <c r="AA50"/>
  <c r="Z50"/>
  <c r="AA49"/>
  <c r="Z49"/>
  <c r="AA48"/>
  <c r="Z48"/>
  <c r="AA47"/>
  <c r="Z47"/>
  <c r="AA46"/>
  <c r="Z46"/>
  <c r="AA45"/>
  <c r="Z45"/>
  <c r="AA44"/>
  <c r="Z44"/>
  <c r="AA43"/>
  <c r="Z43"/>
  <c r="AA42"/>
  <c r="Z42"/>
  <c r="AA41"/>
  <c r="Z41"/>
  <c r="AA40"/>
  <c r="Z40"/>
  <c r="AA39"/>
  <c r="Z39"/>
  <c r="AA38"/>
  <c r="Z38"/>
  <c r="AA37"/>
  <c r="Z37"/>
  <c r="AA36"/>
  <c r="Z36"/>
  <c r="AA35"/>
  <c r="Z35"/>
  <c r="AA34"/>
  <c r="Z34"/>
  <c r="AA33"/>
  <c r="Z33"/>
  <c r="AA32"/>
  <c r="Z32"/>
  <c r="AA31"/>
  <c r="Z31"/>
  <c r="AA30"/>
  <c r="Z30"/>
  <c r="AA29"/>
  <c r="Z29"/>
  <c r="AA28"/>
  <c r="Z28"/>
  <c r="AA27"/>
  <c r="Z27"/>
  <c r="AA26"/>
  <c r="Z26"/>
  <c r="AA25"/>
  <c r="Z25"/>
  <c r="AA24"/>
  <c r="Z24"/>
  <c r="AA23"/>
  <c r="Z23"/>
  <c r="AA22"/>
  <c r="Z22"/>
  <c r="AA21"/>
  <c r="Z21"/>
  <c r="AA20"/>
  <c r="Z20"/>
  <c r="AA19"/>
  <c r="Z19"/>
  <c r="AA18"/>
  <c r="Z18"/>
  <c r="AA17"/>
  <c r="Z17"/>
  <c r="AA16"/>
  <c r="Z16"/>
  <c r="AA15"/>
  <c r="Z15"/>
  <c r="AA14"/>
  <c r="Z14"/>
  <c r="AA13"/>
  <c r="Z13"/>
  <c r="AA12"/>
  <c r="Z12"/>
  <c r="AA11"/>
  <c r="Z11"/>
  <c r="AA10"/>
  <c r="Z10"/>
  <c r="AA9"/>
  <c r="Z9"/>
  <c r="AA8"/>
  <c r="Z8"/>
  <c r="AA7"/>
  <c r="Z7"/>
  <c r="AA6"/>
  <c r="Z6"/>
  <c r="AA5"/>
  <c r="Z5"/>
  <c r="AA4"/>
  <c r="Z4"/>
  <c r="I56" i="10"/>
  <c r="I54"/>
  <c r="H10"/>
  <c r="C10"/>
  <c r="D13" s="1"/>
  <c r="F20" i="21"/>
  <c r="H19"/>
  <c r="E19"/>
  <c r="AB12" i="10"/>
  <c r="F21" i="21" s="1"/>
  <c r="I19" i="17"/>
  <c r="AB11" i="10"/>
  <c r="E26" i="19" s="1"/>
  <c r="D23" i="1"/>
  <c r="D21"/>
  <c r="D19"/>
  <c r="D17"/>
  <c r="F16" l="1"/>
  <c r="N83" i="10"/>
  <c r="Q106"/>
  <c r="E30" i="19"/>
  <c r="M26"/>
  <c r="J13" i="10"/>
  <c r="J14"/>
  <c r="I14"/>
  <c r="I13"/>
  <c r="AB23"/>
  <c r="R17"/>
  <c r="Q12"/>
  <c r="Q17"/>
  <c r="S90"/>
  <c r="X91"/>
  <c r="Y91"/>
  <c r="U91"/>
  <c r="T97"/>
  <c r="X17"/>
  <c r="Y17" s="1"/>
  <c r="Z17" s="1"/>
  <c r="AB24"/>
  <c r="AB28" s="1"/>
  <c r="AA23"/>
  <c r="AA24"/>
  <c r="AA28" s="1"/>
  <c r="O17"/>
  <c r="P17"/>
  <c r="AD46" i="31"/>
  <c r="AD47"/>
  <c r="AD48"/>
  <c r="AD49"/>
  <c r="AD50"/>
  <c r="AD51"/>
  <c r="O12" i="10"/>
  <c r="O59"/>
  <c r="O63"/>
  <c r="O57"/>
  <c r="O60" s="1"/>
  <c r="P58"/>
  <c r="P62"/>
  <c r="P65" s="1"/>
  <c r="P64"/>
  <c r="O58"/>
  <c r="O62"/>
  <c r="O65" s="1"/>
  <c r="O64"/>
  <c r="P57"/>
  <c r="P60" s="1"/>
  <c r="P59"/>
  <c r="P63"/>
  <c r="V17"/>
  <c r="D14"/>
  <c r="F21" i="17"/>
  <c r="L31" i="16"/>
  <c r="I27" i="19"/>
  <c r="F26" i="16"/>
  <c r="L27" s="1"/>
  <c r="L30"/>
  <c r="I26" i="19"/>
  <c r="Q107" i="10" l="1"/>
  <c r="T98"/>
  <c r="T99"/>
  <c r="S96"/>
  <c r="S91"/>
  <c r="L81"/>
  <c r="Q16"/>
  <c r="K81"/>
  <c r="R16"/>
  <c r="Q13"/>
  <c r="Q11"/>
  <c r="Q9" s="1"/>
  <c r="Y95"/>
  <c r="X95"/>
  <c r="X96" s="1"/>
  <c r="AA29"/>
  <c r="AB29" s="1"/>
  <c r="AB30" s="1"/>
  <c r="O26"/>
  <c r="O31" s="1"/>
  <c r="P26"/>
  <c r="P31" s="1"/>
  <c r="P32" s="1"/>
  <c r="Y24"/>
  <c r="Z24"/>
  <c r="O13"/>
  <c r="O16"/>
  <c r="P16"/>
  <c r="F30" i="16"/>
  <c r="O11" i="10"/>
  <c r="O9" s="1"/>
  <c r="T100" l="1"/>
  <c r="Y96"/>
  <c r="Y97" s="1"/>
  <c r="T101"/>
  <c r="AB32"/>
  <c r="AB31"/>
  <c r="Z27"/>
  <c r="Z29" s="1"/>
  <c r="AF26" s="1"/>
  <c r="L84"/>
  <c r="L86" s="1"/>
  <c r="P20"/>
  <c r="P21" s="1"/>
  <c r="O20"/>
  <c r="O21" s="1"/>
  <c r="Y27"/>
  <c r="Y29" s="1"/>
  <c r="Y30" s="1"/>
  <c r="K84"/>
  <c r="K86" s="1"/>
  <c r="Q20"/>
  <c r="Q21" s="1"/>
  <c r="R20"/>
  <c r="R21" s="1"/>
  <c r="S97"/>
  <c r="S98" s="1"/>
  <c r="S99" s="1"/>
  <c r="Y106"/>
  <c r="AH26"/>
  <c r="P33"/>
  <c r="P36" s="1"/>
  <c r="P34"/>
  <c r="U24"/>
  <c r="U25" s="1"/>
  <c r="U26" s="1"/>
  <c r="U27" s="1"/>
  <c r="U28" s="1"/>
  <c r="U29" s="1"/>
  <c r="O32"/>
  <c r="Y98" l="1"/>
  <c r="Y99"/>
  <c r="Q103"/>
  <c r="Q104" s="1"/>
  <c r="Q105" s="1"/>
  <c r="Z30"/>
  <c r="Z31" s="1"/>
  <c r="AG22"/>
  <c r="AB33"/>
  <c r="AH27" s="1"/>
  <c r="V24"/>
  <c r="R22"/>
  <c r="K87"/>
  <c r="L87" s="1"/>
  <c r="L88" s="1"/>
  <c r="Q22"/>
  <c r="Q23" s="1"/>
  <c r="V22" s="1"/>
  <c r="V23" s="1"/>
  <c r="P35"/>
  <c r="O33"/>
  <c r="U34" s="1"/>
  <c r="T24"/>
  <c r="T25" s="1"/>
  <c r="T26" s="1"/>
  <c r="T27" s="1"/>
  <c r="T28" s="1"/>
  <c r="P22"/>
  <c r="O22"/>
  <c r="O23" s="1"/>
  <c r="X103" l="1"/>
  <c r="O24" i="21" s="1"/>
  <c r="O31" s="1"/>
  <c r="Y100" i="10"/>
  <c r="Y107" s="1"/>
  <c r="L89"/>
  <c r="L90"/>
  <c r="Z32"/>
  <c r="Z33"/>
  <c r="X110"/>
  <c r="O32" i="21" s="1"/>
  <c r="S103" i="10"/>
  <c r="S110" s="1"/>
  <c r="J32" i="21" s="1"/>
  <c r="V25" i="10"/>
  <c r="V26" s="1"/>
  <c r="V27" s="1"/>
  <c r="V28" s="1"/>
  <c r="R23"/>
  <c r="R24" s="1"/>
  <c r="V29"/>
  <c r="Q24"/>
  <c r="AH24"/>
  <c r="K24" i="17"/>
  <c r="AH25" i="10"/>
  <c r="AH28" s="1"/>
  <c r="AG29"/>
  <c r="AG31" s="1"/>
  <c r="K32" i="17" s="1"/>
  <c r="U32" i="10"/>
  <c r="O34"/>
  <c r="U22"/>
  <c r="U23" s="1"/>
  <c r="O24"/>
  <c r="P23"/>
  <c r="T29"/>
  <c r="T22"/>
  <c r="T32"/>
  <c r="Y104" l="1"/>
  <c r="Y105" s="1"/>
  <c r="O28" i="21" s="1"/>
  <c r="AE22" i="10"/>
  <c r="AE29" s="1"/>
  <c r="AE31" s="1"/>
  <c r="F32" i="17" s="1"/>
  <c r="Z34" i="10"/>
  <c r="AF27" s="1"/>
  <c r="F28" i="17" s="1"/>
  <c r="M79" i="10"/>
  <c r="E24" i="21" s="1"/>
  <c r="E31" s="1"/>
  <c r="L91" i="10"/>
  <c r="N84" s="1"/>
  <c r="E28" i="21" s="1"/>
  <c r="Y108" i="10"/>
  <c r="O33" i="21" s="1"/>
  <c r="J24"/>
  <c r="J31" s="1"/>
  <c r="K31" i="17"/>
  <c r="K28"/>
  <c r="AH31" i="10"/>
  <c r="K33" i="17" s="1"/>
  <c r="U35" i="10"/>
  <c r="T34"/>
  <c r="T35" s="1"/>
  <c r="U33"/>
  <c r="T33"/>
  <c r="P24"/>
  <c r="T23"/>
  <c r="AF28" l="1"/>
  <c r="F24" i="17"/>
  <c r="F31" s="1"/>
  <c r="AF31" i="10"/>
  <c r="F33" i="17" s="1"/>
  <c r="AF24" i="10"/>
  <c r="AF25" s="1"/>
  <c r="M86"/>
  <c r="M88" s="1"/>
  <c r="E32" i="21" s="1"/>
  <c r="N85" i="10"/>
  <c r="N88" s="1"/>
  <c r="E33" i="21" s="1"/>
  <c r="N81" i="10"/>
  <c r="N82" s="1"/>
  <c r="T105"/>
  <c r="T106" s="1"/>
  <c r="T108" s="1"/>
  <c r="J28" i="21" l="1"/>
  <c r="T109" i="10"/>
  <c r="J33" i="21" s="1"/>
</calcChain>
</file>

<file path=xl/comments1.xml><?xml version="1.0" encoding="utf-8"?>
<comments xmlns="http://schemas.openxmlformats.org/spreadsheetml/2006/main">
  <authors>
    <author>suzuki</author>
    <author>Aaron Suzuki</author>
    <author>frankt</author>
  </authors>
  <commentList>
    <comment ref="D6" authorId="0">
      <text>
        <r>
          <rPr>
            <b/>
            <sz val="9"/>
            <color indexed="81"/>
            <rFont val="Tahoma"/>
            <family val="2"/>
          </rPr>
          <t>suzuki:</t>
        </r>
        <r>
          <rPr>
            <sz val="9"/>
            <color indexed="81"/>
            <rFont val="Tahoma"/>
            <family val="2"/>
          </rPr>
          <t xml:space="preserve">
This cell tests value to be used to calculate message rate.</t>
        </r>
      </text>
    </comment>
    <comment ref="BZ6" authorId="1">
      <text>
        <r>
          <rPr>
            <b/>
            <sz val="9"/>
            <color indexed="81"/>
            <rFont val="Tahoma"/>
            <family val="2"/>
          </rPr>
          <t>Aaron Suzuki:</t>
        </r>
        <r>
          <rPr>
            <sz val="9"/>
            <color indexed="81"/>
            <rFont val="Tahoma"/>
            <family val="2"/>
          </rPr>
          <t xml:space="preserve">
Divided all these to show impact per MB server.</t>
        </r>
      </text>
    </comment>
    <comment ref="D16" authorId="2">
      <text>
        <r>
          <rPr>
            <b/>
            <sz val="9"/>
            <color indexed="81"/>
            <rFont val="Tahoma"/>
            <family val="2"/>
          </rPr>
          <t>frankt:</t>
        </r>
        <r>
          <rPr>
            <sz val="9"/>
            <color indexed="81"/>
            <rFont val="Tahoma"/>
            <family val="2"/>
          </rPr>
          <t xml:space="preserve">
This provides us with a baseline throughput and performance for Exchange Only with 12, 24 and max throughput w/o FSE</t>
        </r>
      </text>
    </comment>
    <comment ref="G16" authorId="2">
      <text>
        <r>
          <rPr>
            <b/>
            <sz val="9"/>
            <color indexed="81"/>
            <rFont val="Tahoma"/>
            <family val="2"/>
          </rPr>
          <t>frankt:</t>
        </r>
        <r>
          <rPr>
            <sz val="9"/>
            <color indexed="81"/>
            <rFont val="Tahoma"/>
            <family val="2"/>
          </rPr>
          <t xml:space="preserve">
Exchange Baseline for Edge, and Multi-Role Server - two collection steps, no load and then with load</t>
        </r>
      </text>
    </comment>
    <comment ref="G18" authorId="2">
      <text>
        <r>
          <rPr>
            <b/>
            <sz val="9"/>
            <color indexed="81"/>
            <rFont val="Tahoma"/>
            <family val="2"/>
          </rPr>
          <t>frankt:</t>
        </r>
        <r>
          <rPr>
            <sz val="9"/>
            <color indexed="81"/>
            <rFont val="Tahoma"/>
            <family val="2"/>
          </rPr>
          <t xml:space="preserve">
Baseline with FSE defauls on Edge and Multi-Role Server - 2 performance data collections</t>
        </r>
      </text>
    </comment>
    <comment ref="D20" authorId="2">
      <text>
        <r>
          <rPr>
            <b/>
            <sz val="9"/>
            <color indexed="81"/>
            <rFont val="Tahoma"/>
            <family val="2"/>
          </rPr>
          <t>frankt:</t>
        </r>
        <r>
          <rPr>
            <sz val="9"/>
            <color indexed="81"/>
            <rFont val="Tahoma"/>
            <family val="2"/>
          </rPr>
          <t xml:space="preserve">
The next 3 scenarios give us the max throughput given different number of engines</t>
        </r>
      </text>
    </comment>
    <comment ref="Y20" authorId="1">
      <text>
        <r>
          <rPr>
            <b/>
            <sz val="9"/>
            <color indexed="81"/>
            <rFont val="Tahoma"/>
            <family val="2"/>
          </rPr>
          <t>Aaron Suzuki:</t>
        </r>
        <r>
          <rPr>
            <sz val="9"/>
            <color indexed="81"/>
            <rFont val="Tahoma"/>
            <family val="2"/>
          </rPr>
          <t xml:space="preserve">
This set of calculations uses reapplies the baseline utiliization to each server.</t>
        </r>
      </text>
    </comment>
    <comment ref="W23" authorId="1">
      <text>
        <r>
          <rPr>
            <b/>
            <sz val="9"/>
            <color indexed="81"/>
            <rFont val="Tahoma"/>
            <family val="2"/>
          </rPr>
          <t>Aaron Suzuki:</t>
        </r>
        <r>
          <rPr>
            <sz val="9"/>
            <color indexed="81"/>
            <rFont val="Tahoma"/>
            <family val="2"/>
          </rPr>
          <t xml:space="preserve">
this gives us the %age of tested RAM (edge 4gb, MR 10GB) to use to determine if we have a BIG RAM calc. If the value is &lt;= 1 it will not be big.</t>
        </r>
      </text>
    </comment>
    <comment ref="T24" authorId="1">
      <text>
        <r>
          <rPr>
            <b/>
            <sz val="9"/>
            <color indexed="81"/>
            <rFont val="Tahoma"/>
            <family val="2"/>
          </rPr>
          <t>Aaron Suzuki:</t>
        </r>
        <r>
          <rPr>
            <sz val="9"/>
            <color indexed="81"/>
            <rFont val="Tahoma"/>
            <family val="2"/>
          </rPr>
          <t xml:space="preserve">
This calculation actually gives us utilization per GB RAM on the edge, which is different from the MR calc.</t>
        </r>
      </text>
    </comment>
    <comment ref="W24" authorId="1">
      <text>
        <r>
          <rPr>
            <b/>
            <sz val="9"/>
            <color indexed="81"/>
            <rFont val="Tahoma"/>
            <family val="2"/>
          </rPr>
          <t>Aaron Suzuki:</t>
        </r>
        <r>
          <rPr>
            <sz val="9"/>
            <color indexed="81"/>
            <rFont val="Tahoma"/>
            <family val="2"/>
          </rPr>
          <t xml:space="preserve">
We're calculating here, what total utilization would be if we allocated 16GB RAM to the server.</t>
        </r>
      </text>
    </comment>
    <comment ref="Y24" authorId="1">
      <text>
        <r>
          <rPr>
            <b/>
            <sz val="9"/>
            <color indexed="81"/>
            <rFont val="Tahoma"/>
            <family val="2"/>
          </rPr>
          <t>Aaron Suzuki:</t>
        </r>
        <r>
          <rPr>
            <sz val="9"/>
            <color indexed="81"/>
            <rFont val="Tahoma"/>
            <family val="2"/>
          </rPr>
          <t xml:space="preserve">
In contrast to MR Server, Edge OH is calc by AMR, not MB and SF.</t>
        </r>
      </text>
    </comment>
    <comment ref="BZ24" authorId="1">
      <text>
        <r>
          <rPr>
            <b/>
            <sz val="9"/>
            <color indexed="81"/>
            <rFont val="Tahoma"/>
            <family val="2"/>
          </rPr>
          <t>Aaron Suzuki:</t>
        </r>
        <r>
          <rPr>
            <sz val="9"/>
            <color indexed="81"/>
            <rFont val="Tahoma"/>
            <family val="2"/>
          </rPr>
          <t xml:space="preserve">
Divided all these to show impact per MB server.</t>
        </r>
      </text>
    </comment>
    <comment ref="W26" authorId="1">
      <text>
        <r>
          <rPr>
            <b/>
            <sz val="9"/>
            <color indexed="81"/>
            <rFont val="Tahoma"/>
            <family val="2"/>
          </rPr>
          <t>Aaron Suzuki:</t>
        </r>
        <r>
          <rPr>
            <sz val="9"/>
            <color indexed="81"/>
            <rFont val="Tahoma"/>
            <family val="2"/>
          </rPr>
          <t xml:space="preserve">
If this value is bigger than rows 23 and 33 for cols O and P, then the role is memory bound and we can scale up memory rather than add servers.</t>
        </r>
      </text>
    </comment>
    <comment ref="X28" authorId="1">
      <text>
        <r>
          <rPr>
            <b/>
            <sz val="9"/>
            <color indexed="81"/>
            <rFont val="Tahoma"/>
            <family val="2"/>
          </rPr>
          <t>Aaron Suzuki:</t>
        </r>
        <r>
          <rPr>
            <sz val="9"/>
            <color indexed="81"/>
            <rFont val="Tahoma"/>
            <family val="2"/>
          </rPr>
          <t xml:space="preserve">
Right now this pertains to CPU only!</t>
        </r>
      </text>
    </comment>
    <comment ref="AB29" authorId="1">
      <text>
        <r>
          <rPr>
            <b/>
            <sz val="9"/>
            <color indexed="81"/>
            <rFont val="Tahoma"/>
            <family val="2"/>
          </rPr>
          <t>Aaron Suzuki:</t>
        </r>
        <r>
          <rPr>
            <sz val="9"/>
            <color indexed="81"/>
            <rFont val="Tahoma"/>
            <family val="2"/>
          </rPr>
          <t xml:space="preserve">
This is also just a multiple like used in z30</t>
        </r>
      </text>
    </comment>
    <comment ref="Z30" authorId="1">
      <text>
        <r>
          <rPr>
            <b/>
            <sz val="9"/>
            <color indexed="81"/>
            <rFont val="Tahoma"/>
            <family val="2"/>
          </rPr>
          <t>Aaron Suzuki:</t>
        </r>
        <r>
          <rPr>
            <sz val="9"/>
            <color indexed="81"/>
            <rFont val="Tahoma"/>
            <family val="2"/>
          </rPr>
          <t xml:space="preserve">
This is just a number to give us an idea as to whether we can scale up or not. Used in Z31.</t>
        </r>
      </text>
    </comment>
    <comment ref="D43" authorId="2">
      <text>
        <r>
          <rPr>
            <b/>
            <sz val="9"/>
            <color indexed="81"/>
            <rFont val="Tahoma"/>
            <family val="2"/>
          </rPr>
          <t>frankt:</t>
        </r>
        <r>
          <rPr>
            <sz val="9"/>
            <color indexed="81"/>
            <rFont val="Tahoma"/>
            <family val="2"/>
          </rPr>
          <t xml:space="preserve">
This gives us data to calculate the A/S overhead per incoming message rate</t>
        </r>
      </text>
    </comment>
    <comment ref="W77" authorId="1">
      <text>
        <r>
          <rPr>
            <b/>
            <sz val="9"/>
            <color indexed="81"/>
            <rFont val="Tahoma"/>
            <family val="2"/>
          </rPr>
          <t>Aaron Suzuki:</t>
        </r>
        <r>
          <rPr>
            <sz val="9"/>
            <color indexed="81"/>
            <rFont val="Tahoma"/>
            <family val="2"/>
          </rPr>
          <t xml:space="preserve">
these are all %ages represented as flat multiple values</t>
        </r>
      </text>
    </comment>
    <comment ref="T78" authorId="1">
      <text>
        <r>
          <rPr>
            <b/>
            <sz val="9"/>
            <color indexed="81"/>
            <rFont val="Tahoma"/>
            <family val="2"/>
          </rPr>
          <t>Aaron Suzuki:</t>
        </r>
        <r>
          <rPr>
            <sz val="9"/>
            <color indexed="81"/>
            <rFont val="Tahoma"/>
            <family val="2"/>
          </rPr>
          <t xml:space="preserve">
"Expected Mem" in MB</t>
        </r>
      </text>
    </comment>
    <comment ref="W78" authorId="1">
      <text>
        <r>
          <rPr>
            <b/>
            <sz val="9"/>
            <color indexed="81"/>
            <rFont val="Tahoma"/>
            <family val="2"/>
          </rPr>
          <t>Aaron Suzuki:</t>
        </r>
        <r>
          <rPr>
            <sz val="9"/>
            <color indexed="81"/>
            <rFont val="Tahoma"/>
            <family val="2"/>
          </rPr>
          <t xml:space="preserve">
These are %ages actually…0.4134%</t>
        </r>
      </text>
    </comment>
    <comment ref="X78" authorId="1">
      <text>
        <r>
          <rPr>
            <b/>
            <sz val="9"/>
            <color indexed="81"/>
            <rFont val="Tahoma"/>
            <family val="2"/>
          </rPr>
          <t>Aaron Suzuki:</t>
        </r>
        <r>
          <rPr>
            <sz val="9"/>
            <color indexed="81"/>
            <rFont val="Tahoma"/>
            <family val="2"/>
          </rPr>
          <t xml:space="preserve">
% per ALU</t>
        </r>
      </text>
    </comment>
    <comment ref="Z78" authorId="1">
      <text>
        <r>
          <rPr>
            <b/>
            <sz val="9"/>
            <color indexed="81"/>
            <rFont val="Tahoma"/>
            <family val="2"/>
          </rPr>
          <t>Aaron Suzuki:</t>
        </r>
        <r>
          <rPr>
            <sz val="9"/>
            <color indexed="81"/>
            <rFont val="Tahoma"/>
            <family val="2"/>
          </rPr>
          <t xml:space="preserve">
% per ALU</t>
        </r>
      </text>
    </comment>
    <comment ref="X83" authorId="2">
      <text>
        <r>
          <rPr>
            <b/>
            <sz val="9"/>
            <color indexed="81"/>
            <rFont val="Tahoma"/>
            <family val="2"/>
          </rPr>
          <t>frankt:</t>
        </r>
        <r>
          <rPr>
            <sz val="9"/>
            <color indexed="81"/>
            <rFont val="Tahoma"/>
            <family val="2"/>
          </rPr>
          <t xml:space="preserve">
CPU OH for Notifications</t>
        </r>
      </text>
    </comment>
    <comment ref="Z83" authorId="2">
      <text>
        <r>
          <rPr>
            <b/>
            <sz val="9"/>
            <color indexed="81"/>
            <rFont val="Tahoma"/>
            <family val="2"/>
          </rPr>
          <t>frankt:</t>
        </r>
        <r>
          <rPr>
            <sz val="9"/>
            <color indexed="81"/>
            <rFont val="Tahoma"/>
            <family val="2"/>
          </rPr>
          <t xml:space="preserve">
Mem OH for Notifications (Degradation)</t>
        </r>
      </text>
    </comment>
    <comment ref="J85" authorId="1">
      <text>
        <r>
          <rPr>
            <b/>
            <sz val="9"/>
            <color indexed="81"/>
            <rFont val="Tahoma"/>
            <family val="2"/>
          </rPr>
          <t>Aaron Suzuki:</t>
        </r>
        <r>
          <rPr>
            <sz val="9"/>
            <color indexed="81"/>
            <rFont val="Tahoma"/>
            <family val="2"/>
          </rPr>
          <t xml:space="preserve">
Right now this pertains to CPU only!</t>
        </r>
      </text>
    </comment>
    <comment ref="L87" authorId="1">
      <text>
        <r>
          <rPr>
            <b/>
            <sz val="9"/>
            <color indexed="81"/>
            <rFont val="Tahoma"/>
            <family val="2"/>
          </rPr>
          <t>Aaron Suzuki:</t>
        </r>
        <r>
          <rPr>
            <sz val="9"/>
            <color indexed="81"/>
            <rFont val="Tahoma"/>
            <family val="2"/>
          </rPr>
          <t xml:space="preserve">
This is just a number to give us an idea as to whether we can scale up or not. Used in Z31.</t>
        </r>
      </text>
    </comment>
    <comment ref="S87" authorId="1">
      <text>
        <r>
          <rPr>
            <b/>
            <sz val="9"/>
            <color indexed="81"/>
            <rFont val="Tahoma"/>
            <family val="2"/>
          </rPr>
          <t>Aaron Suzuki:</t>
        </r>
        <r>
          <rPr>
            <sz val="9"/>
            <color indexed="81"/>
            <rFont val="Tahoma"/>
            <family val="2"/>
          </rPr>
          <t xml:space="preserve">
This is calculated conventionally: OH*SF*MB</t>
        </r>
      </text>
    </comment>
    <comment ref="T87" authorId="1">
      <text>
        <r>
          <rPr>
            <b/>
            <sz val="9"/>
            <color indexed="81"/>
            <rFont val="Tahoma"/>
            <family val="2"/>
          </rPr>
          <t>Aaron Suzuki:</t>
        </r>
        <r>
          <rPr>
            <sz val="9"/>
            <color indexed="81"/>
            <rFont val="Tahoma"/>
            <family val="2"/>
          </rPr>
          <t xml:space="preserve">
MB Memory is calculated in a variation of how Exch calcs mem.</t>
        </r>
      </text>
    </comment>
    <comment ref="T91" authorId="1">
      <text>
        <r>
          <rPr>
            <b/>
            <sz val="9"/>
            <color indexed="81"/>
            <rFont val="Tahoma"/>
            <family val="2"/>
          </rPr>
          <t>Aaron Suzuki:</t>
        </r>
        <r>
          <rPr>
            <sz val="9"/>
            <color indexed="81"/>
            <rFont val="Tahoma"/>
            <family val="2"/>
          </rPr>
          <t xml:space="preserve">
This is total Memory in MB calculated uniquely.</t>
        </r>
      </text>
    </comment>
    <comment ref="U91" authorId="1">
      <text>
        <r>
          <rPr>
            <b/>
            <sz val="9"/>
            <color indexed="81"/>
            <rFont val="Tahoma"/>
            <family val="2"/>
          </rPr>
          <t>Aaron Suzuki:</t>
        </r>
        <r>
          <rPr>
            <sz val="9"/>
            <color indexed="81"/>
            <rFont val="Tahoma"/>
            <family val="2"/>
          </rPr>
          <t xml:space="preserve">
This is total mem in GB :)</t>
        </r>
      </text>
    </comment>
    <comment ref="S96" authorId="1">
      <text>
        <r>
          <rPr>
            <b/>
            <sz val="9"/>
            <color indexed="81"/>
            <rFont val="Tahoma"/>
            <family val="2"/>
          </rPr>
          <t>Aaron Suzuki:</t>
        </r>
        <r>
          <rPr>
            <sz val="9"/>
            <color indexed="81"/>
            <rFont val="Tahoma"/>
            <family val="2"/>
          </rPr>
          <t xml:space="preserve">
This is OH only</t>
        </r>
      </text>
    </comment>
    <comment ref="Y96" authorId="1">
      <text>
        <r>
          <rPr>
            <b/>
            <sz val="9"/>
            <color indexed="81"/>
            <rFont val="Tahoma"/>
            <family val="2"/>
          </rPr>
          <t>Aaron Suzuki:</t>
        </r>
        <r>
          <rPr>
            <sz val="9"/>
            <color indexed="81"/>
            <rFont val="Tahoma"/>
            <family val="2"/>
          </rPr>
          <t xml:space="preserve">
This is just a number to give us an idea as to whether we can scale up or not. Used in Z31.</t>
        </r>
      </text>
    </comment>
    <comment ref="Q104" authorId="1">
      <text>
        <r>
          <rPr>
            <b/>
            <sz val="9"/>
            <color indexed="81"/>
            <rFont val="Tahoma"/>
            <family val="2"/>
          </rPr>
          <t>Aaron Suzuki:</t>
        </r>
        <r>
          <rPr>
            <sz val="9"/>
            <color indexed="81"/>
            <rFont val="Tahoma"/>
            <family val="2"/>
          </rPr>
          <t xml:space="preserve">
We divide by 2 here to show the impact of max ram. Since the hub had 8 GB and that's what we're basing this on even though it is MB.</t>
        </r>
      </text>
    </comment>
    <comment ref="Q107" authorId="1">
      <text>
        <r>
          <rPr>
            <b/>
            <sz val="9"/>
            <color indexed="81"/>
            <rFont val="Tahoma"/>
            <family val="2"/>
          </rPr>
          <t>Aaron Suzuki:</t>
        </r>
        <r>
          <rPr>
            <sz val="9"/>
            <color indexed="81"/>
            <rFont val="Tahoma"/>
            <family val="2"/>
          </rPr>
          <t xml:space="preserve">
This basically tells us based on the target utilization and the max ram allocation, how many servers we need.</t>
        </r>
      </text>
    </comment>
  </commentList>
</comments>
</file>

<file path=xl/comments2.xml><?xml version="1.0" encoding="utf-8"?>
<comments xmlns="http://schemas.openxmlformats.org/spreadsheetml/2006/main">
  <authors>
    <author>frankt</author>
  </authors>
  <commentList>
    <comment ref="K4" authorId="0">
      <text>
        <r>
          <rPr>
            <b/>
            <sz val="9"/>
            <color indexed="81"/>
            <rFont val="Tahoma"/>
            <family val="2"/>
          </rPr>
          <t>frankt:</t>
        </r>
        <r>
          <rPr>
            <sz val="9"/>
            <color indexed="81"/>
            <rFont val="Tahoma"/>
            <family val="2"/>
          </rPr>
          <t xml:space="preserve">
This provides us with a baseline throughput and performance for Exchange Only with 12, 24 and max throughput w/o FSE</t>
        </r>
      </text>
    </comment>
    <comment ref="K8" authorId="0">
      <text>
        <r>
          <rPr>
            <b/>
            <sz val="9"/>
            <color indexed="81"/>
            <rFont val="Tahoma"/>
            <family val="2"/>
          </rPr>
          <t>frankt:</t>
        </r>
        <r>
          <rPr>
            <sz val="9"/>
            <color indexed="81"/>
            <rFont val="Tahoma"/>
            <family val="2"/>
          </rPr>
          <t xml:space="preserve">
The next 3 scenarios give us the max throughput given different number of engines</t>
        </r>
      </text>
    </comment>
    <comment ref="K31" authorId="0">
      <text>
        <r>
          <rPr>
            <b/>
            <sz val="9"/>
            <color indexed="81"/>
            <rFont val="Tahoma"/>
            <family val="2"/>
          </rPr>
          <t>frankt:</t>
        </r>
        <r>
          <rPr>
            <sz val="9"/>
            <color indexed="81"/>
            <rFont val="Tahoma"/>
            <family val="2"/>
          </rPr>
          <t xml:space="preserve">
This gives us data to calculate the A/S overhead per incoming message rate</t>
        </r>
      </text>
    </comment>
  </commentList>
</comments>
</file>

<file path=xl/comments3.xml><?xml version="1.0" encoding="utf-8"?>
<comments xmlns="http://schemas.openxmlformats.org/spreadsheetml/2006/main">
  <authors>
    <author>frankt</author>
  </authors>
  <commentList>
    <comment ref="J3" authorId="0">
      <text>
        <r>
          <rPr>
            <b/>
            <sz val="9"/>
            <color indexed="81"/>
            <rFont val="Tahoma"/>
            <family val="2"/>
          </rPr>
          <t>frankt:</t>
        </r>
        <r>
          <rPr>
            <sz val="9"/>
            <color indexed="81"/>
            <rFont val="Tahoma"/>
            <family val="2"/>
          </rPr>
          <t xml:space="preserve">
This actually applies to both the Hub and MB if on the same box. </t>
        </r>
      </text>
    </comment>
    <comment ref="K3" authorId="0">
      <text>
        <r>
          <rPr>
            <b/>
            <sz val="9"/>
            <color indexed="81"/>
            <rFont val="Tahoma"/>
            <family val="2"/>
          </rPr>
          <t>frankt:</t>
        </r>
        <r>
          <rPr>
            <sz val="9"/>
            <color indexed="81"/>
            <rFont val="Tahoma"/>
            <family val="2"/>
          </rPr>
          <t xml:space="preserve">
This applies to both the Hub and MB is on the same box</t>
        </r>
      </text>
    </comment>
    <comment ref="C4" authorId="0">
      <text>
        <r>
          <rPr>
            <b/>
            <sz val="9"/>
            <color indexed="81"/>
            <rFont val="Tahoma"/>
            <family val="2"/>
          </rPr>
          <t>frankt:</t>
        </r>
        <r>
          <rPr>
            <sz val="9"/>
            <color indexed="81"/>
            <rFont val="Tahoma"/>
            <family val="2"/>
          </rPr>
          <t xml:space="preserve">
Exchange Baseline for Edge, and Multi-Role Server - two collection steps, no load and then with load</t>
        </r>
      </text>
    </comment>
    <comment ref="C6" authorId="0">
      <text>
        <r>
          <rPr>
            <b/>
            <sz val="9"/>
            <color indexed="81"/>
            <rFont val="Tahoma"/>
            <family val="2"/>
          </rPr>
          <t>frankt:</t>
        </r>
        <r>
          <rPr>
            <sz val="9"/>
            <color indexed="81"/>
            <rFont val="Tahoma"/>
            <family val="2"/>
          </rPr>
          <t xml:space="preserve">
Baseline with FSE defauls on Edge and Multi-Role Server - 2 performance data collections</t>
        </r>
      </text>
    </comment>
    <comment ref="L52" authorId="0">
      <text>
        <r>
          <rPr>
            <b/>
            <sz val="9"/>
            <color indexed="81"/>
            <rFont val="Tahoma"/>
            <family val="2"/>
          </rPr>
          <t>frankt:</t>
        </r>
        <r>
          <rPr>
            <sz val="9"/>
            <color indexed="81"/>
            <rFont val="Tahoma"/>
            <family val="2"/>
          </rPr>
          <t xml:space="preserve">
This would actually apply to the number of scan processes for background scan.  This needs to be verified. </t>
        </r>
      </text>
    </comment>
  </commentList>
</comments>
</file>

<file path=xl/comments4.xml><?xml version="1.0" encoding="utf-8"?>
<comments xmlns="http://schemas.openxmlformats.org/spreadsheetml/2006/main">
  <authors>
    <author>frankt</author>
  </authors>
  <commentList>
    <comment ref="K27" authorId="0">
      <text>
        <r>
          <rPr>
            <b/>
            <sz val="9"/>
            <color indexed="81"/>
            <rFont val="Tahoma"/>
            <family val="2"/>
          </rPr>
          <t>frankt:</t>
        </r>
        <r>
          <rPr>
            <sz val="9"/>
            <color indexed="81"/>
            <rFont val="Tahoma"/>
            <family val="2"/>
          </rPr>
          <t xml:space="preserve">
Should be set on Background Scan</t>
        </r>
      </text>
    </comment>
  </commentList>
</comments>
</file>

<file path=xl/sharedStrings.xml><?xml version="1.0" encoding="utf-8"?>
<sst xmlns="http://schemas.openxmlformats.org/spreadsheetml/2006/main" count="1988" uniqueCount="612">
  <si>
    <t>Quarantine Enabled</t>
  </si>
  <si>
    <t>Anti-Spam Enabled</t>
  </si>
  <si>
    <t>No</t>
  </si>
  <si>
    <t>% CPU Impact</t>
  </si>
  <si>
    <t>% Memory Impact</t>
  </si>
  <si>
    <t>% Throughput Impact</t>
  </si>
  <si>
    <t>Edge Server</t>
  </si>
  <si>
    <t>Multi-Role Server</t>
  </si>
  <si>
    <t>Edge Server Values</t>
  </si>
  <si>
    <t>SRA Values</t>
  </si>
  <si>
    <t>ERA Values</t>
  </si>
  <si>
    <t># of Engines</t>
  </si>
  <si>
    <t>Quarantine Enables</t>
  </si>
  <si>
    <t>Notifications Enables</t>
  </si>
  <si>
    <t>Message Rate (M/S)</t>
  </si>
  <si>
    <t># of Scan Processes</t>
  </si>
  <si>
    <t>Quarantine Enabled*</t>
  </si>
  <si>
    <t>Notifications Enabled*</t>
  </si>
  <si>
    <t># of Scan Jobs</t>
  </si>
  <si>
    <t>Scan-onScanner Update Enabled</t>
  </si>
  <si>
    <t>Background Scanning Enabled</t>
  </si>
  <si>
    <t>Notifications Enabled</t>
  </si>
  <si>
    <t xml:space="preserve">No </t>
  </si>
  <si>
    <t>Yes</t>
  </si>
  <si>
    <t>MAX</t>
  </si>
  <si>
    <t xml:space="preserve">Test Scenario </t>
  </si>
  <si>
    <t>Edge</t>
  </si>
  <si>
    <t>Inbound Simulation</t>
  </si>
  <si>
    <t>Mailbox Load Simulation</t>
  </si>
  <si>
    <t>SMTP1</t>
  </si>
  <si>
    <t>SMTP2</t>
  </si>
  <si>
    <t>Load Gen</t>
  </si>
  <si>
    <t># of Users</t>
  </si>
  <si>
    <t>User Load Profile</t>
  </si>
  <si>
    <t>Ave CPU Utill</t>
  </si>
  <si>
    <t>n/a</t>
  </si>
  <si>
    <t>N/A</t>
  </si>
  <si>
    <t>Max</t>
  </si>
  <si>
    <t>Test Scenario</t>
  </si>
  <si>
    <t>Hub</t>
  </si>
  <si>
    <t>Mailbox</t>
  </si>
  <si>
    <t>S-1a</t>
  </si>
  <si>
    <t>None</t>
  </si>
  <si>
    <t>S-2a</t>
  </si>
  <si>
    <t>S-5a</t>
  </si>
  <si>
    <t>S-8a</t>
  </si>
  <si>
    <t>S-11a</t>
  </si>
  <si>
    <t>S-14a</t>
  </si>
  <si>
    <t>S-17a</t>
  </si>
  <si>
    <t>S-3a</t>
  </si>
  <si>
    <t>S-6a</t>
  </si>
  <si>
    <t>S-9a</t>
  </si>
  <si>
    <t>S-12a</t>
  </si>
  <si>
    <t>S-15a</t>
  </si>
  <si>
    <t>S-18a</t>
  </si>
  <si>
    <t>S-4a</t>
  </si>
  <si>
    <t>S-7a</t>
  </si>
  <si>
    <t>S-10a</t>
  </si>
  <si>
    <t>S-13a</t>
  </si>
  <si>
    <t>S-16a</t>
  </si>
  <si>
    <t>S-19a</t>
  </si>
  <si>
    <t>S-1b</t>
  </si>
  <si>
    <t>Average</t>
  </si>
  <si>
    <t>S-2b</t>
  </si>
  <si>
    <t>S-5b</t>
  </si>
  <si>
    <t>S-8b</t>
  </si>
  <si>
    <t>S-11b</t>
  </si>
  <si>
    <t>S-14b</t>
  </si>
  <si>
    <t>S-17b</t>
  </si>
  <si>
    <t>S-20a</t>
  </si>
  <si>
    <t>S-3b</t>
  </si>
  <si>
    <t>S-6b</t>
  </si>
  <si>
    <t>S-9b</t>
  </si>
  <si>
    <t>S-12b</t>
  </si>
  <si>
    <t>S-15b</t>
  </si>
  <si>
    <t>S-18b</t>
  </si>
  <si>
    <t>S-4b</t>
  </si>
  <si>
    <t>S-7b</t>
  </si>
  <si>
    <t>S-10b</t>
  </si>
  <si>
    <t>S-13b</t>
  </si>
  <si>
    <t>S-16b</t>
  </si>
  <si>
    <t>S-19b</t>
  </si>
  <si>
    <t>5-21a</t>
  </si>
  <si>
    <t>5-23a</t>
  </si>
  <si>
    <t>yes</t>
  </si>
  <si>
    <t>Notifications</t>
  </si>
  <si>
    <t xml:space="preserve"> </t>
  </si>
  <si>
    <t>E-1a</t>
  </si>
  <si>
    <t>E-2a</t>
  </si>
  <si>
    <t>E-5a</t>
  </si>
  <si>
    <t>E-6a</t>
  </si>
  <si>
    <t>E-3a</t>
  </si>
  <si>
    <t>E-4a</t>
  </si>
  <si>
    <t>E-1b</t>
  </si>
  <si>
    <t>E-2b</t>
  </si>
  <si>
    <t>E-5b</t>
  </si>
  <si>
    <t>E-6b</t>
  </si>
  <si>
    <t>E-7a</t>
  </si>
  <si>
    <t>E-9a</t>
  </si>
  <si>
    <t>E-11a</t>
  </si>
  <si>
    <t>E-12a</t>
  </si>
  <si>
    <t>E-13a</t>
  </si>
  <si>
    <t>E-14a</t>
  </si>
  <si>
    <t>E-3b</t>
  </si>
  <si>
    <t>E-4b</t>
  </si>
  <si>
    <t>E-8a</t>
  </si>
  <si>
    <t>E-10a</t>
  </si>
  <si>
    <t>E-15a</t>
  </si>
  <si>
    <t>E-16a</t>
  </si>
  <si>
    <t>E-17a</t>
  </si>
  <si>
    <t>E-18a</t>
  </si>
  <si>
    <t>E-19a</t>
  </si>
  <si>
    <t>E-20a</t>
  </si>
  <si>
    <t>Bias</t>
  </si>
  <si>
    <t xml:space="preserve">AV Quarantine </t>
  </si>
  <si>
    <t>Disabled</t>
  </si>
  <si>
    <t>Enabled</t>
  </si>
  <si>
    <t xml:space="preserve">Notifications </t>
  </si>
  <si>
    <t xml:space="preserve">Anti-Spam </t>
  </si>
  <si>
    <t>Process outbound SMTP?</t>
  </si>
  <si>
    <t>Hub and Mailbox Joint Settings</t>
  </si>
  <si>
    <t>Scan Description</t>
  </si>
  <si>
    <t>4 (2 transport, 2 real time)</t>
  </si>
  <si>
    <t>8 (4 transport, 4 real time)</t>
  </si>
  <si>
    <t>Hub Server Settings</t>
  </si>
  <si>
    <t>Mailbox Server Settings</t>
  </si>
  <si>
    <t>Do you intend to enable on-access scanning on engine/signature updates?</t>
  </si>
  <si>
    <t>Number of Mailboxes</t>
  </si>
  <si>
    <t>User load profile</t>
  </si>
  <si>
    <t>light</t>
  </si>
  <si>
    <t>average</t>
  </si>
  <si>
    <t>heavy</t>
  </si>
  <si>
    <t>very heavy</t>
  </si>
  <si>
    <t>Incoming SMTP msg rate</t>
  </si>
  <si>
    <t>AV % malware detected</t>
  </si>
  <si>
    <t>SPAM - %SMPT ID'd as SPAM</t>
  </si>
  <si>
    <t>SPAM - %overall Spam</t>
  </si>
  <si>
    <t>General</t>
  </si>
  <si>
    <t># Mailboxes</t>
  </si>
  <si>
    <t>Edge-to-hub throughput</t>
  </si>
  <si>
    <t>Mb load profile: sent msgs/dy</t>
  </si>
  <si>
    <t>MB load profile: rec'd msgs/dy</t>
  </si>
  <si>
    <t>% targeted outbound mail</t>
  </si>
  <si>
    <t>% targeted internal mail</t>
  </si>
  <si>
    <t>Multi Role Server</t>
  </si>
  <si>
    <t>SMTP</t>
  </si>
  <si>
    <t>AV</t>
  </si>
  <si>
    <t>SPAM</t>
  </si>
  <si>
    <t>MB Load Profile</t>
  </si>
  <si>
    <t>Sent messages per day per user</t>
  </si>
  <si>
    <t>Received messages per day per user</t>
  </si>
  <si>
    <t>SPAM - Cnxns rejected /sec</t>
  </si>
  <si>
    <t>Target CPU utilization</t>
  </si>
  <si>
    <t>Target memory utilization</t>
  </si>
  <si>
    <t>Hub Server</t>
  </si>
  <si>
    <t>Mailbox Server</t>
  </si>
  <si>
    <t>Number of Servers</t>
  </si>
  <si>
    <t>Recommended Hardware Profile</t>
  </si>
  <si>
    <t>Results</t>
  </si>
  <si>
    <t>Estimated CPU utilization per server</t>
  </si>
  <si>
    <t>Number of users per server</t>
  </si>
  <si>
    <t>Target utilization</t>
  </si>
  <si>
    <t>Your environment:</t>
  </si>
  <si>
    <t>scale factor for ULP</t>
  </si>
  <si>
    <t># of Hub Engines</t>
  </si>
  <si>
    <t># of MB Engines</t>
  </si>
  <si>
    <t>value link:</t>
  </si>
  <si>
    <t>SF value:</t>
  </si>
  <si>
    <t>CPU</t>
  </si>
  <si>
    <t>Memory</t>
  </si>
  <si>
    <t>ULP name value:</t>
  </si>
  <si>
    <t>MB AV Quarantine Enabled</t>
  </si>
  <si>
    <t>HUB AV Quarantine Enabled</t>
  </si>
  <si>
    <t>MB Notifications Enabled</t>
  </si>
  <si>
    <t>Hub Notifications Enabled</t>
  </si>
  <si>
    <t>Hub # of Engines</t>
  </si>
  <si>
    <t>MB # of Engines</t>
  </si>
  <si>
    <t>output-&gt;</t>
  </si>
  <si>
    <t>Value for SRA</t>
  </si>
  <si>
    <t>ERA MB</t>
  </si>
  <si>
    <t>ERA Hub</t>
  </si>
  <si>
    <t>Servers</t>
  </si>
  <si>
    <t>Complete</t>
  </si>
  <si>
    <t>X</t>
  </si>
  <si>
    <t>E-1c</t>
  </si>
  <si>
    <t>E-1d</t>
  </si>
  <si>
    <t>E-2c</t>
  </si>
  <si>
    <t>E-2d</t>
  </si>
  <si>
    <t>E-3c</t>
  </si>
  <si>
    <t>E-3d</t>
  </si>
  <si>
    <t>E-4c</t>
  </si>
  <si>
    <t>E-4d</t>
  </si>
  <si>
    <t>E-7b</t>
  </si>
  <si>
    <t>E-8b</t>
  </si>
  <si>
    <t>E-9b</t>
  </si>
  <si>
    <t>E-11b</t>
  </si>
  <si>
    <t>Base Overhead Calculations (includes notifications and Quarantine On as default)</t>
  </si>
  <si>
    <t>5 Engine</t>
  </si>
  <si>
    <t>% CPU Util</t>
  </si>
  <si>
    <t>% Mem Util</t>
  </si>
  <si>
    <t>Scenarios</t>
  </si>
  <si>
    <t>Calculation</t>
  </si>
  <si>
    <t>3 Engine</t>
  </si>
  <si>
    <t>1 Engine</t>
  </si>
  <si>
    <t>Ex Only</t>
  </si>
  <si>
    <t>Test Results</t>
  </si>
  <si>
    <t>Max CPU</t>
  </si>
  <si>
    <t>Ave Memory Available</t>
  </si>
  <si>
    <t>Multi</t>
  </si>
  <si>
    <t>5-22a</t>
  </si>
  <si>
    <t>5-24a</t>
  </si>
  <si>
    <t>5-25a</t>
  </si>
  <si>
    <t>5-26a</t>
  </si>
  <si>
    <t>5-27a</t>
  </si>
  <si>
    <t>5-28a</t>
  </si>
  <si>
    <t>5-29a</t>
  </si>
  <si>
    <t>5-30a</t>
  </si>
  <si>
    <t>5-31a</t>
  </si>
  <si>
    <t>5-32a</t>
  </si>
  <si>
    <t>5-33a</t>
  </si>
  <si>
    <t>5-34a</t>
  </si>
  <si>
    <t>5-35a</t>
  </si>
  <si>
    <t>MB1</t>
  </si>
  <si>
    <t>MB2</t>
  </si>
  <si>
    <t>Rates</t>
  </si>
  <si>
    <t>Row #</t>
  </si>
  <si>
    <t>Scenario</t>
  </si>
  <si>
    <t>Memory Ref</t>
  </si>
  <si>
    <t>CPU pointer:</t>
  </si>
  <si>
    <t>Mem pointer:</t>
  </si>
  <si>
    <t>no load</t>
  </si>
  <si>
    <t>load</t>
  </si>
  <si>
    <t>concatenate edge:</t>
  </si>
  <si>
    <t>Row</t>
  </si>
  <si>
    <t>Concatenated</t>
  </si>
  <si>
    <t>Mem Ref</t>
  </si>
  <si>
    <t>CPU Ref</t>
  </si>
  <si>
    <t>3221</t>
  </si>
  <si>
    <t>2221</t>
  </si>
  <si>
    <t>1221</t>
  </si>
  <si>
    <t>3121</t>
  </si>
  <si>
    <t>1121</t>
  </si>
  <si>
    <t>1211</t>
  </si>
  <si>
    <t>3222</t>
  </si>
  <si>
    <t>3212</t>
  </si>
  <si>
    <t>1222</t>
  </si>
  <si>
    <t>1212</t>
  </si>
  <si>
    <t>concatenate multi-role settings values:</t>
  </si>
  <si>
    <t>UTILIZATION CALCULATIONS</t>
  </si>
  <si>
    <t>Edge:</t>
  </si>
  <si>
    <t>For Chosen Settings</t>
  </si>
  <si>
    <t>Actual Message Rate:</t>
  </si>
  <si>
    <t>Base Utilization %</t>
  </si>
  <si>
    <t>Outbound SMTP</t>
  </si>
  <si>
    <t>Notification OH</t>
  </si>
  <si>
    <t>Quarantine OH</t>
  </si>
  <si>
    <t>AEMR:</t>
  </si>
  <si>
    <t>SPAM OH</t>
  </si>
  <si>
    <t>TOTAL EDGE UTILIZATION:</t>
  </si>
  <si>
    <t>Servers Qty Calc</t>
  </si>
  <si>
    <t># Servers Rec</t>
  </si>
  <si>
    <t>Multi-Role!</t>
  </si>
  <si>
    <t>233</t>
  </si>
  <si>
    <t>223</t>
  </si>
  <si>
    <t>213</t>
  </si>
  <si>
    <t>232</t>
  </si>
  <si>
    <t>222</t>
  </si>
  <si>
    <t>212</t>
  </si>
  <si>
    <t>231</t>
  </si>
  <si>
    <t>221</t>
  </si>
  <si>
    <t>211</t>
  </si>
  <si>
    <t>133</t>
  </si>
  <si>
    <t>123</t>
  </si>
  <si>
    <t>113</t>
  </si>
  <si>
    <t>132</t>
  </si>
  <si>
    <t>122</t>
  </si>
  <si>
    <t>112</t>
  </si>
  <si>
    <t>131</t>
  </si>
  <si>
    <t>121</t>
  </si>
  <si>
    <t>111</t>
  </si>
  <si>
    <t xml:space="preserve">Base utilization: </t>
  </si>
  <si>
    <t>Notification OH:</t>
  </si>
  <si>
    <t>Quarantine OH:</t>
  </si>
  <si>
    <t>SOS OH:</t>
  </si>
  <si>
    <t>BG Scan OH:</t>
  </si>
  <si>
    <t>2b</t>
  </si>
  <si>
    <t>10b</t>
  </si>
  <si>
    <t>QOH5 = (An(S20a) –An(S2b))/((MB/1000)*SF)</t>
  </si>
  <si>
    <t>QOH1 = (An(S21a)-An(S10b))/ ((MB/1000)*SF)</t>
  </si>
  <si>
    <t>QOH3 = (((An(S20a)+An(S21a))/2) – AnS6b)/ ((MB/1000)*SF)</t>
  </si>
  <si>
    <t>NOH5 = (An(S22a) –An(S2b))/((MB/1000)*SF)</t>
  </si>
  <si>
    <t>NOH1 = (An(S23a)-An(S10b))/ ((MB/1000)*SF)</t>
  </si>
  <si>
    <t>NOH3 = (((An(S22a)+An(S23a))/2) – AnS6b)/ ((MB/1000)*SF)</t>
  </si>
  <si>
    <t>engines</t>
  </si>
  <si>
    <t>Value to use:</t>
  </si>
  <si>
    <t>TOTAL MULTI-ROLE UTILIZATION:</t>
  </si>
  <si>
    <t>Server Qty Calc:</t>
  </si>
  <si>
    <t>Avg % Mem Util</t>
  </si>
  <si>
    <t>Avg Mem util %</t>
  </si>
  <si>
    <t>edge</t>
  </si>
  <si>
    <t>multi</t>
  </si>
  <si>
    <t>Concat'd Settings</t>
  </si>
  <si>
    <t>MB</t>
  </si>
  <si>
    <t>MEM calc due to PEBKAC</t>
  </si>
  <si>
    <t>CPU Edge</t>
  </si>
  <si>
    <t>CPU multi</t>
  </si>
  <si>
    <t>CPUQO</t>
  </si>
  <si>
    <t>CPUNO</t>
  </si>
  <si>
    <t>MemQO</t>
  </si>
  <si>
    <t>MemNO</t>
  </si>
  <si>
    <t>QOH CPU</t>
  </si>
  <si>
    <t>QOH Mem</t>
  </si>
  <si>
    <t>NOH CPU</t>
  </si>
  <si>
    <t>NOH Mem</t>
  </si>
  <si>
    <t>mem util/server</t>
  </si>
  <si>
    <t>We won't include BG Scan data due to substantive univeral impact.</t>
  </si>
  <si>
    <t>make it an even whole number</t>
  </si>
  <si>
    <t>Div row 21 by target on start page</t>
  </si>
  <si>
    <t>util for a 16 GB server</t>
  </si>
  <si>
    <t># servers based on max RAM</t>
  </si>
  <si>
    <t>Server Rec based on big RAM</t>
  </si>
  <si>
    <t>Mem util/svr Mem based</t>
  </si>
  <si>
    <t>multiple based on target util per RAM</t>
  </si>
  <si>
    <t>Det multiple based on target util per CPU</t>
  </si>
  <si>
    <t>Memory Rec based on target util per RAM</t>
  </si>
  <si>
    <t>LOGIC TO CHOOSE BETWEEN RAM AND CPU PREF</t>
  </si>
  <si>
    <t>Memory value to report</t>
  </si>
  <si>
    <t>Mem util</t>
  </si>
  <si>
    <t>CRS</t>
  </si>
  <si>
    <t>&lt;2%</t>
  </si>
  <si>
    <t>s2b</t>
  </si>
  <si>
    <t>s11b</t>
  </si>
  <si>
    <t>s5b</t>
  </si>
  <si>
    <t>s14b</t>
  </si>
  <si>
    <t>s8b</t>
  </si>
  <si>
    <t>s17b</t>
  </si>
  <si>
    <t>SOS calcs</t>
  </si>
  <si>
    <t>Mem</t>
  </si>
  <si>
    <t>For Engine setting = 8</t>
  </si>
  <si>
    <t>Engine setting =4</t>
  </si>
  <si>
    <t>What values do we use for SOS if enabled?</t>
  </si>
  <si>
    <t>BGS calcs</t>
  </si>
  <si>
    <t>SMTPOHCPU(5Engine)</t>
  </si>
  <si>
    <t>SMTPOHMem(5Engine)</t>
  </si>
  <si>
    <t>SMTPOHCPU(3Engine)</t>
  </si>
  <si>
    <t>SMTPOHMem(3Engine)</t>
  </si>
  <si>
    <t>SMTPOHCPU(1Engine)</t>
  </si>
  <si>
    <t>SMTPOHMem(1Engine)</t>
  </si>
  <si>
    <t>OBSMTPOHC(5 Engine)</t>
  </si>
  <si>
    <t>OBSMTPOHC(3 Engine)</t>
  </si>
  <si>
    <t>OBSMTPOHC(1 Engine)</t>
  </si>
  <si>
    <t>SMTPOHCPU(EXONLY)</t>
  </si>
  <si>
    <t>SMTPOHMem(EXONLY)</t>
  </si>
  <si>
    <t>QuarantineCPUOH</t>
  </si>
  <si>
    <t>NotificationCPUOH</t>
  </si>
  <si>
    <t>QuarantineMemOH</t>
  </si>
  <si>
    <t>NotificationMemOH</t>
  </si>
  <si>
    <t>FRANKS FIGURES</t>
  </si>
  <si>
    <t>BUS = AMR*(FRANKSFIGURES)</t>
  </si>
  <si>
    <t>OSOH = ((franksfigures*SF)MB</t>
  </si>
  <si>
    <t>Which to use based on config?</t>
  </si>
  <si>
    <r>
      <t xml:space="preserve">NO </t>
    </r>
    <r>
      <rPr>
        <b/>
        <sz val="11"/>
        <color theme="1"/>
        <rFont val="Calibri"/>
        <family val="2"/>
        <scheme val="minor"/>
      </rPr>
      <t xml:space="preserve">= </t>
    </r>
    <r>
      <rPr>
        <sz val="11"/>
        <color theme="1"/>
        <rFont val="Calibri"/>
        <family val="2"/>
        <scheme val="minor"/>
      </rPr>
      <t>(franksfigures)AMR</t>
    </r>
  </si>
  <si>
    <t>QO = (franksfigures)AMR</t>
  </si>
  <si>
    <t>SPAMBaseCPUOH</t>
  </si>
  <si>
    <t>SPAMSMTPCPUOH</t>
  </si>
  <si>
    <t>SPAMSMTPMEMOH</t>
  </si>
  <si>
    <t>SPAMBASEMemOH</t>
  </si>
  <si>
    <t>TUCS = (CRS+SMR)*franksfigures</t>
  </si>
  <si>
    <t>MultiBaseCPUUtil(8,5,5)</t>
  </si>
  <si>
    <t>MultCPULoadOH(8,5,5)</t>
  </si>
  <si>
    <t>MultiBaseMemUtil(8,5,5)</t>
  </si>
  <si>
    <t>MultiMemLoadOH(8,5,5)</t>
  </si>
  <si>
    <t>MultiBaseCPUUtil(8,3,5)</t>
  </si>
  <si>
    <t>MultCPULoadOH(8,3,5)</t>
  </si>
  <si>
    <t>MultiBaseMemUtil(8,3,5)</t>
  </si>
  <si>
    <t>MultMemLoadOH(8,3,5)</t>
  </si>
  <si>
    <t>MultiBaseCPUUtil(8,1,5)</t>
  </si>
  <si>
    <t>MultCPULoadOH(8,1,5)</t>
  </si>
  <si>
    <t>MultiBaseMemUtil(8,1,5)</t>
  </si>
  <si>
    <t>MultMemLoadOH(8,1,5)</t>
  </si>
  <si>
    <t>MultiBaseCPUUtil(8, 5, 3)</t>
  </si>
  <si>
    <t>MultMemLoadOH(8,5,3)</t>
  </si>
  <si>
    <t>MultiBaseMemUtil(8,5,3)</t>
  </si>
  <si>
    <t>MultiBaseCPUUtil(8,3,3)</t>
  </si>
  <si>
    <t>MultCPULoadOH(8,3,3)</t>
  </si>
  <si>
    <t>MultiBaseMemUtil(8,3,3)</t>
  </si>
  <si>
    <t>MultMemLoadOH(8,3,3)</t>
  </si>
  <si>
    <t>MultiBaseCPUUtil(8,1,3)</t>
  </si>
  <si>
    <t>MultCPULoadOH(8,1,3)</t>
  </si>
  <si>
    <t>MultiBaseMemUtil(8,1,3)</t>
  </si>
  <si>
    <t>MultMemLoadOH(8,1,3)</t>
  </si>
  <si>
    <t>MultiBaseCPUUtil(8,5,1)</t>
  </si>
  <si>
    <t>MultiCPULoadOH(8,5,1)</t>
  </si>
  <si>
    <t>MultiBaseMemUtil(8,5,1)</t>
  </si>
  <si>
    <t>MultMemLoadOH(8,5,1)</t>
  </si>
  <si>
    <t>MultiBaseCPUUtil(8,3,1)</t>
  </si>
  <si>
    <t>MultiCPULoadOH(8,3,1)</t>
  </si>
  <si>
    <t>MultiBaseMemUtil(8,3,1)</t>
  </si>
  <si>
    <t>MultMemLoadOH(8,3,1)</t>
  </si>
  <si>
    <t>MultiBaseCPUUtil(8,1,1)</t>
  </si>
  <si>
    <t>MultiCPULoadOH(8,1,1)</t>
  </si>
  <si>
    <t>MultiBaseMemUtil(8,1,1)</t>
  </si>
  <si>
    <t>MultMemLoadOH(8,1,1)</t>
  </si>
  <si>
    <t>MultiBaseCPUUtil(4,5,5)</t>
  </si>
  <si>
    <t>MultiCPULoadOH(4,5,5)</t>
  </si>
  <si>
    <t>MultiBaseMemUtil(4,5,5)</t>
  </si>
  <si>
    <t>MultMemLoadOH(4,5,5)</t>
  </si>
  <si>
    <t>MultiBaseCPUUtil(4,3,5)</t>
  </si>
  <si>
    <t>MultiCPULoadOH(4,3,5)</t>
  </si>
  <si>
    <t>MultiBaseMemUtil(4,3,5)</t>
  </si>
  <si>
    <t>MultMemLoadOH(4,3,5)</t>
  </si>
  <si>
    <t>MultiBaseCPUUtil(4,1,5)</t>
  </si>
  <si>
    <t>MultiCPULoadOH(4,1,5)</t>
  </si>
  <si>
    <t>MultiBaseMemUtil(4,1,5)</t>
  </si>
  <si>
    <t>MultMemLoadOH(4,1,5)</t>
  </si>
  <si>
    <t>MultiBaseCPUUtil(4,5,3)</t>
  </si>
  <si>
    <t>MultiCPULoadOH(4,5,3)</t>
  </si>
  <si>
    <t>MultiBaseMemUtil(4,5,3)</t>
  </si>
  <si>
    <t>MultMemLoadOH(4,5,3)</t>
  </si>
  <si>
    <t>MultiBaseCPUUtil(4,3,3)</t>
  </si>
  <si>
    <t>MultiCPULoadOH(4,3,3)</t>
  </si>
  <si>
    <t>MultiBaseMemUtil(4,3,3)</t>
  </si>
  <si>
    <t>MultMemLoadOH(4,3,3)</t>
  </si>
  <si>
    <t>MultiBaseCPUUtil(4,1,3)</t>
  </si>
  <si>
    <t>MultiCPULoadOH(4,1,3)</t>
  </si>
  <si>
    <t>MultiBaseMemUtil(4,1,3)</t>
  </si>
  <si>
    <t>MultMemLoadOH(4,1,3)</t>
  </si>
  <si>
    <t>MultiBaseCPUUtil(4,5,1)</t>
  </si>
  <si>
    <t>MultiCPULoadOH(4,5,1)</t>
  </si>
  <si>
    <t>MultiBaseMemUtil(4,5,1)</t>
  </si>
  <si>
    <t>MultMemLoadOH(4,5,1)</t>
  </si>
  <si>
    <t>MultiBaseCPUUtil(4,3,1)</t>
  </si>
  <si>
    <t>MultiCPULoadOH(4,3,1)</t>
  </si>
  <si>
    <t>MultiBaseMemUtil(4,3,1)</t>
  </si>
  <si>
    <t>MultMemLoadOH(4,3,1)</t>
  </si>
  <si>
    <t>MultiBaseCPUUtil(4,1,1)</t>
  </si>
  <si>
    <t>MultiCPULoadOH(4,1,1)</t>
  </si>
  <si>
    <t>MultiBaseMemUtil(4,1,1)</t>
  </si>
  <si>
    <t>MultMemLoadOH(4,1,1)</t>
  </si>
  <si>
    <t>Frank's values</t>
  </si>
  <si>
    <t>MRU = FBU+(FUPAL*MB*SF)</t>
  </si>
  <si>
    <t>"FBU" variable</t>
  </si>
  <si>
    <t>"FUPAL" variable</t>
  </si>
  <si>
    <t>scenario S#</t>
  </si>
  <si>
    <t>Concat Scenario Value</t>
  </si>
  <si>
    <t>Server util CPU</t>
  </si>
  <si>
    <t>total mem rec</t>
  </si>
  <si>
    <t>mem/svr rec</t>
  </si>
  <si>
    <t>Det Mem util per server, CPU qty rec-based</t>
  </si>
  <si>
    <t>baseline</t>
  </si>
  <si>
    <t>This is a raw # (mult by 100)</t>
  </si>
  <si>
    <t>SOS</t>
  </si>
  <si>
    <t>QOH</t>
  </si>
  <si>
    <t>NOH</t>
  </si>
  <si>
    <t>Total SMTP Overhead only = OH*MB*SF</t>
  </si>
  <si>
    <t>TOTAL OH</t>
  </si>
  <si>
    <t>How many servers?</t>
  </si>
  <si>
    <t>scale up memory?</t>
  </si>
  <si>
    <t>Which svr qty to use?</t>
  </si>
  <si>
    <t>Mem util/svr Mem based (10GB)</t>
  </si>
  <si>
    <t>raw svr qty calc based on 10GB</t>
  </si>
  <si>
    <t>Util per Memory Rec</t>
  </si>
  <si>
    <t>CPU util per server</t>
  </si>
  <si>
    <t>numbers to feed to form</t>
  </si>
  <si>
    <t>OH</t>
  </si>
  <si>
    <t xml:space="preserve">ALTERNATIVE BASELINE - </t>
  </si>
  <si>
    <t>MultiRole Server</t>
  </si>
  <si>
    <t>SERVER QUANTITY TO REPORT</t>
  </si>
  <si>
    <t xml:space="preserve">MULTI ROLE </t>
  </si>
  <si>
    <t>ERA!</t>
  </si>
  <si>
    <t>CPU Base Util</t>
  </si>
  <si>
    <t>CPU OH</t>
  </si>
  <si>
    <t>Mem Base Util</t>
  </si>
  <si>
    <t>Mem OH</t>
  </si>
  <si>
    <t>0 (FSE Off)</t>
  </si>
  <si>
    <t>HUB Data</t>
  </si>
  <si>
    <t>HUB Calc</t>
  </si>
  <si>
    <t>MB Data</t>
  </si>
  <si>
    <t>MB Calc</t>
  </si>
  <si>
    <t>Base value</t>
  </si>
  <si>
    <t>OH Value</t>
  </si>
  <si>
    <t xml:space="preserve">Base+OH utilization: </t>
  </si>
  <si>
    <t>Ex Mem Mult</t>
  </si>
  <si>
    <t>TOTAL HUB UTILIZATION:</t>
  </si>
  <si>
    <t>Quarantine</t>
  </si>
  <si>
    <t xml:space="preserve">OH </t>
  </si>
  <si>
    <t>BOH % util:</t>
  </si>
  <si>
    <t>NewERAMB</t>
  </si>
  <si>
    <t>OH Sum</t>
  </si>
  <si>
    <t>SOS to use</t>
  </si>
  <si>
    <t>Mem util/svr Mem based (8 GB)</t>
  </si>
  <si>
    <t>raw svr qty calc based on 8 GB</t>
  </si>
  <si>
    <t>ERA CPU</t>
  </si>
  <si>
    <t>ERA Mem</t>
  </si>
  <si>
    <t>ERA EDGE!</t>
  </si>
  <si>
    <t>8 scan procs</t>
  </si>
  <si>
    <t>4 scan procs</t>
  </si>
  <si>
    <t>Which to use?</t>
  </si>
  <si>
    <t>Can we scale up without scaling out?</t>
  </si>
  <si>
    <t>If not, how many servers do we need?</t>
  </si>
  <si>
    <t>To get below threshold</t>
  </si>
  <si>
    <t>ERA value</t>
  </si>
  <si>
    <t>http://www.specbench.org/cpu2006/results/res2006q3/cpu2006-20060513-00028.html</t>
  </si>
  <si>
    <t>http://www.specbench.org/cpu2006/results/res2008q4/cpu2006-20080929-05417.html</t>
  </si>
  <si>
    <t>http://www.specbench.org/cpu2006/results/res2008q4/cpu2006-20081027-05791.html</t>
  </si>
  <si>
    <t>http://www.specbench.org/cpu2006/results/res2008q4/cpu2006-20081013-05602.html</t>
  </si>
  <si>
    <t>http://www.specbench.org/cpu2006/results/res2008q4/cpu2006-20080929-05420.html</t>
  </si>
  <si>
    <r>
      <t xml:space="preserve">Hardware Benchmarks: </t>
    </r>
    <r>
      <rPr>
        <sz val="11"/>
        <color theme="1"/>
        <rFont val="Calibri"/>
        <family val="2"/>
        <scheme val="minor"/>
      </rPr>
      <t>Compare server performance</t>
    </r>
  </si>
  <si>
    <t>http://technet.microsoft.com/en-us/library/aa998636.aspx</t>
  </si>
  <si>
    <t>http://technet.microsoft.com/en-us/library/bb738142.aspx</t>
  </si>
  <si>
    <t>Guidance</t>
  </si>
  <si>
    <t>http://www.msexchange.org/articles-tutorials/exchange-server-2007/planning-architecture/exchange-2007-sizing-cheat-sheet.html?printversion</t>
  </si>
  <si>
    <t>OBSMTPOH</t>
  </si>
  <si>
    <t>Total Edge OH</t>
  </si>
  <si>
    <t>How many svrs?</t>
  </si>
  <si>
    <t>Can we scale up?</t>
  </si>
  <si>
    <t>Rec RAM for scaleup</t>
  </si>
  <si>
    <t>We can't scale up? How many servers, then?</t>
  </si>
  <si>
    <t>Ok, then how much RAM per server?</t>
  </si>
  <si>
    <t>Rec RAM for scale up</t>
  </si>
  <si>
    <t>If no scale up, then how many servers?</t>
  </si>
  <si>
    <t>For scale out, how much ram?</t>
  </si>
  <si>
    <t>Light</t>
  </si>
  <si>
    <t>Heavy</t>
  </si>
  <si>
    <t>Very Heavy</t>
  </si>
  <si>
    <t>Send/Receive</t>
  </si>
  <si>
    <t>Messages per day</t>
  </si>
  <si>
    <t>Database</t>
  </si>
  <si>
    <t>cache/user</t>
  </si>
  <si>
    <t xml:space="preserve">Estimated </t>
  </si>
  <si>
    <t>IOPS/user</t>
  </si>
  <si>
    <t>Logs Generated/</t>
  </si>
  <si>
    <t>mailbox</t>
  </si>
  <si>
    <t>5 sent/20 received</t>
  </si>
  <si>
    <t>10 sent/40 received</t>
  </si>
  <si>
    <t>20 sent/80 received</t>
  </si>
  <si>
    <t>30 sent/120 received</t>
  </si>
  <si>
    <t>2 MB</t>
  </si>
  <si>
    <t>3.5 MB</t>
  </si>
  <si>
    <t>5 MB</t>
  </si>
  <si>
    <t>Edge CPU</t>
  </si>
  <si>
    <t>5 engines</t>
  </si>
  <si>
    <t>3 engines</t>
  </si>
  <si>
    <t>1 engine</t>
  </si>
  <si>
    <t>Exchange only</t>
  </si>
  <si>
    <t>Edge Memory</t>
  </si>
  <si>
    <t>Multi Role CPU</t>
  </si>
  <si>
    <t>Multi Role Memory</t>
  </si>
  <si>
    <t>Hub CPU</t>
  </si>
  <si>
    <t>Hub Memory</t>
  </si>
  <si>
    <t>Mailbox CPU</t>
  </si>
  <si>
    <t>Mailbox Memory</t>
  </si>
  <si>
    <t>Exch Only Base CPU</t>
  </si>
  <si>
    <t>EO CPU Load</t>
  </si>
  <si>
    <t>EO Mem Load</t>
  </si>
  <si>
    <t>EO Base Mem</t>
  </si>
  <si>
    <t>this is a raw number</t>
  </si>
  <si>
    <t>RUN THIS IN TERMS OF MESSAGE RATE!</t>
  </si>
  <si>
    <t>MEMORY IN TERMS OF GB MEMORY!</t>
  </si>
  <si>
    <t>4 cores*</t>
  </si>
  <si>
    <t>AntiSPAM Enabled Edge to hub throughput</t>
  </si>
  <si>
    <t>MutiRole CPU 8 and 4</t>
  </si>
  <si>
    <t>Multi Role Memory 8 and 4</t>
  </si>
  <si>
    <t>5 engines (8 scan processes)</t>
  </si>
  <si>
    <t>3 engines (8 scan processes)</t>
  </si>
  <si>
    <t>1 engine (8 scan processes)</t>
  </si>
  <si>
    <t>Exchange only (8 scan processes)</t>
  </si>
  <si>
    <t>5 engines (4 scan processes)</t>
  </si>
  <si>
    <t>3 engines (4 scan processes)</t>
  </si>
  <si>
    <t>1 engine (4 scan processes)</t>
  </si>
  <si>
    <t>Quantity of memory per server</t>
  </si>
  <si>
    <t>Estimated memory utilization per server</t>
  </si>
  <si>
    <t>Microsoft Forefront Security for Exchange Server (FSE)</t>
  </si>
  <si>
    <t>http://www.microsoft.com/forefront/serversecurity/exchange/en/us/default.aspx</t>
  </si>
  <si>
    <t>Minimum memory utilization for all servers is 50%.</t>
  </si>
  <si>
    <t>Allocating less than 50% may result in errors later in the tool.</t>
  </si>
  <si>
    <t>Multi-role server</t>
  </si>
  <si>
    <t>Mailbox server</t>
  </si>
  <si>
    <t>Hub server</t>
  </si>
  <si>
    <t>Edge server</t>
  </si>
  <si>
    <t>All servers</t>
  </si>
  <si>
    <t>Favor certainty</t>
  </si>
  <si>
    <t>Favor Certainty</t>
  </si>
  <si>
    <t xml:space="preserve">Antispam </t>
  </si>
  <si>
    <t>Do you plan to run background scanning during normal business operations?</t>
  </si>
  <si>
    <t>Message rate (messages/sec)</t>
  </si>
  <si>
    <t>Percent malware detected</t>
  </si>
  <si>
    <t>Connections rejected per second</t>
  </si>
  <si>
    <t>SMTP messages identified as SPAM</t>
  </si>
  <si>
    <t>Percentage of overall SPAM</t>
  </si>
  <si>
    <t>Edge-to-hub throughput (msgs/sec)</t>
  </si>
  <si>
    <t>Targeted internet-bound mail</t>
  </si>
  <si>
    <t>Targeted internal-only mail</t>
  </si>
  <si>
    <t xml:space="preserve"> The edge transport (Edge/Hub) process and the store process (Mailbox Role) dynamically re-size based on Exchange calculations. This can result in consumption of a significant amount of memory. However, that memory is released based on server load.</t>
  </si>
  <si>
    <t>Scan processes</t>
  </si>
  <si>
    <t>Antivirus engines</t>
  </si>
  <si>
    <t>Antivirus quarantine</t>
  </si>
  <si>
    <t>Scan Processes</t>
  </si>
  <si>
    <t>Will the edge server process outbound SMTP traffic?</t>
  </si>
  <si>
    <t>Targeted Internet-Bound Mail</t>
  </si>
  <si>
    <t>Targeted Internal-Only Mail</t>
  </si>
  <si>
    <t>Number of mailboxes</t>
  </si>
  <si>
    <t>Number of processors per server</t>
  </si>
  <si>
    <t>Test servers</t>
  </si>
  <si>
    <t>Microsoft Exchange server planning</t>
  </si>
  <si>
    <t>Exchange sizing cheat sheet</t>
  </si>
  <si>
    <t>HP DL380 G5</t>
  </si>
  <si>
    <t>HP DL360 G5</t>
  </si>
  <si>
    <t>Dell Poweredge 2950 III</t>
  </si>
  <si>
    <t>Dell Poweredge 1950 III</t>
  </si>
  <si>
    <t>Latest generation quad core servers:</t>
  </si>
  <si>
    <t>The edge transport (Edge/Hub) process and the store process (Mailbox Role) dynamically re-size based on Exchange calculations. This can result in consumption of a significant amount of memory. However, that memory is released based on server load.</t>
  </si>
</sst>
</file>

<file path=xl/styles.xml><?xml version="1.0" encoding="utf-8"?>
<styleSheet xmlns="http://schemas.openxmlformats.org/spreadsheetml/2006/main">
  <numFmts count="3">
    <numFmt numFmtId="164" formatCode="0.0%"/>
    <numFmt numFmtId="165" formatCode="0.000"/>
    <numFmt numFmtId="166" formatCode="0.0"/>
  </numFmts>
  <fonts count="14">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i/>
      <sz val="11"/>
      <color theme="1"/>
      <name val="Calibri"/>
      <family val="2"/>
      <scheme val="minor"/>
    </font>
    <font>
      <b/>
      <sz val="14"/>
      <color theme="1"/>
      <name val="Calibri"/>
      <family val="2"/>
      <scheme val="minor"/>
    </font>
    <font>
      <b/>
      <i/>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1"/>
      <name val="Calibri"/>
      <family val="2"/>
      <scheme val="minor"/>
    </font>
    <font>
      <u/>
      <sz val="11"/>
      <color theme="10"/>
      <name val="Calibri"/>
      <family val="2"/>
    </font>
    <font>
      <sz val="9"/>
      <color theme="1"/>
      <name val="Calibri"/>
      <family val="2"/>
      <scheme val="minor"/>
    </font>
    <font>
      <b/>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9" tint="0.39994506668294322"/>
        <bgColor indexed="64"/>
      </patternFill>
    </fill>
    <fill>
      <patternFill patternType="solid">
        <fgColor rgb="FFFFC000"/>
        <bgColor indexed="64"/>
      </patternFill>
    </fill>
    <fill>
      <patternFill patternType="solid">
        <fgColor rgb="FFBCE08C"/>
        <bgColor indexed="64"/>
      </patternFill>
    </fill>
    <fill>
      <patternFill patternType="solid">
        <fgColor rgb="FF0070C0"/>
        <bgColor indexed="64"/>
      </patternFill>
    </fill>
    <fill>
      <patternFill patternType="solid">
        <fgColor rgb="FF7030A0"/>
        <bgColor indexed="64"/>
      </patternFill>
    </fill>
    <fill>
      <patternFill patternType="solid">
        <fgColor rgb="FF92D050"/>
        <bgColor indexed="64"/>
      </patternFill>
    </fill>
    <fill>
      <patternFill patternType="solid">
        <fgColor rgb="FFFFFF9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patternFill>
    </fill>
    <fill>
      <patternFill patternType="solid">
        <fgColor theme="5"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FF0000"/>
      </left>
      <right style="thin">
        <color rgb="FFFF0000"/>
      </right>
      <top style="thin">
        <color rgb="FFFF0000"/>
      </top>
      <bottom style="thin">
        <color rgb="FFFF0000"/>
      </bottom>
      <diagonal/>
    </border>
    <border>
      <left/>
      <right/>
      <top/>
      <bottom style="thin">
        <color rgb="FFFF0000"/>
      </bottom>
      <diagonal/>
    </border>
    <border>
      <left/>
      <right style="thin">
        <color rgb="FFFF0000"/>
      </right>
      <top/>
      <bottom/>
      <diagonal/>
    </border>
    <border>
      <left/>
      <right style="thin">
        <color rgb="FFFF0000"/>
      </right>
      <top style="thin">
        <color rgb="FFFF0000"/>
      </top>
      <bottom style="thin">
        <color rgb="FFFF0000"/>
      </bottom>
      <diagonal/>
    </border>
  </borders>
  <cellStyleXfs count="4">
    <xf numFmtId="0" fontId="0" fillId="0" borderId="0"/>
    <xf numFmtId="9" fontId="7" fillId="0" borderId="0" applyFont="0" applyFill="0" applyBorder="0" applyAlignment="0" applyProtection="0"/>
    <xf numFmtId="0" fontId="8" fillId="15" borderId="0" applyNumberFormat="0" applyBorder="0" applyAlignment="0" applyProtection="0"/>
    <xf numFmtId="0" fontId="11" fillId="0" borderId="0" applyNumberFormat="0" applyFill="0" applyBorder="0" applyAlignment="0" applyProtection="0">
      <alignment vertical="top"/>
      <protection locked="0"/>
    </xf>
  </cellStyleXfs>
  <cellXfs count="195">
    <xf numFmtId="0" fontId="0" fillId="0" borderId="0" xfId="0"/>
    <xf numFmtId="0" fontId="0" fillId="2" borderId="0" xfId="0" applyFill="1"/>
    <xf numFmtId="0" fontId="1" fillId="2" borderId="0" xfId="0" applyFont="1" applyFill="1"/>
    <xf numFmtId="0" fontId="1" fillId="2" borderId="0" xfId="0" applyFont="1" applyFill="1" applyAlignment="1">
      <alignment horizontal="center" wrapText="1"/>
    </xf>
    <xf numFmtId="0" fontId="1" fillId="2" borderId="0" xfId="0" applyFont="1" applyFill="1" applyBorder="1" applyAlignment="1">
      <alignment horizontal="center" wrapText="1"/>
    </xf>
    <xf numFmtId="0" fontId="0" fillId="2" borderId="0" xfId="0" applyFill="1" applyBorder="1"/>
    <xf numFmtId="0" fontId="0" fillId="2" borderId="0" xfId="0" applyFill="1" applyAlignment="1">
      <alignment horizontal="center" wrapText="1"/>
    </xf>
    <xf numFmtId="49" fontId="0" fillId="3" borderId="7" xfId="0" applyNumberFormat="1"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0" fontId="0" fillId="3" borderId="7" xfId="0" applyFont="1" applyFill="1" applyBorder="1" applyAlignment="1">
      <alignment wrapText="1"/>
    </xf>
    <xf numFmtId="0" fontId="0" fillId="3" borderId="10" xfId="0" applyFont="1" applyFill="1" applyBorder="1" applyAlignment="1">
      <alignment wrapText="1"/>
    </xf>
    <xf numFmtId="0" fontId="0" fillId="0" borderId="0" xfId="0" applyFill="1" applyBorder="1" applyAlignment="1">
      <alignment wrapText="1"/>
    </xf>
    <xf numFmtId="0" fontId="0" fillId="7" borderId="0" xfId="0" applyFill="1" applyBorder="1"/>
    <xf numFmtId="49" fontId="0" fillId="0" borderId="0" xfId="0" applyNumberFormat="1" applyFill="1" applyBorder="1" applyAlignment="1">
      <alignment wrapText="1"/>
    </xf>
    <xf numFmtId="0" fontId="0" fillId="0" borderId="0" xfId="0" applyFill="1" applyBorder="1"/>
    <xf numFmtId="0" fontId="4" fillId="2" borderId="0" xfId="0" applyFont="1" applyFill="1"/>
    <xf numFmtId="0" fontId="1" fillId="2" borderId="0" xfId="0" applyFont="1" applyFill="1" applyBorder="1"/>
    <xf numFmtId="0" fontId="4" fillId="2" borderId="0" xfId="0" applyFont="1" applyFill="1" applyBorder="1"/>
    <xf numFmtId="0" fontId="0" fillId="0" borderId="0" xfId="0" applyFill="1"/>
    <xf numFmtId="0" fontId="1" fillId="0" borderId="0" xfId="0" applyFont="1" applyFill="1" applyBorder="1" applyAlignment="1">
      <alignment horizontal="center" wrapText="1"/>
    </xf>
    <xf numFmtId="0" fontId="1" fillId="2" borderId="0" xfId="0" applyFont="1" applyFill="1" applyAlignment="1">
      <alignment horizontal="center"/>
    </xf>
    <xf numFmtId="0" fontId="0" fillId="3" borderId="8" xfId="0" applyFill="1" applyBorder="1" applyAlignment="1">
      <alignment wrapText="1"/>
    </xf>
    <xf numFmtId="0" fontId="0" fillId="3" borderId="9" xfId="0" applyFill="1" applyBorder="1" applyAlignment="1">
      <alignment wrapText="1"/>
    </xf>
    <xf numFmtId="0" fontId="0" fillId="3" borderId="11" xfId="0" applyFill="1" applyBorder="1" applyAlignment="1">
      <alignment wrapText="1"/>
    </xf>
    <xf numFmtId="0" fontId="0" fillId="0" borderId="0" xfId="0" applyFill="1" applyBorder="1" applyAlignment="1">
      <alignment horizontal="left"/>
    </xf>
    <xf numFmtId="0" fontId="0" fillId="3" borderId="0" xfId="0" applyFont="1" applyFill="1" applyBorder="1" applyAlignment="1">
      <alignment wrapText="1"/>
    </xf>
    <xf numFmtId="0" fontId="0" fillId="3" borderId="0" xfId="0" applyFill="1" applyBorder="1" applyAlignment="1">
      <alignment wrapText="1"/>
    </xf>
    <xf numFmtId="0" fontId="0" fillId="0" borderId="0" xfId="0" applyAlignment="1">
      <alignment horizontal="center"/>
    </xf>
    <xf numFmtId="0" fontId="0" fillId="3" borderId="18" xfId="0" applyFill="1" applyBorder="1" applyAlignment="1">
      <alignment wrapText="1"/>
    </xf>
    <xf numFmtId="0" fontId="4" fillId="0" borderId="0" xfId="0" applyFont="1" applyFill="1"/>
    <xf numFmtId="0" fontId="1" fillId="0" borderId="0" xfId="0" applyFont="1" applyFill="1" applyAlignment="1">
      <alignment horizontal="center" wrapText="1"/>
    </xf>
    <xf numFmtId="0" fontId="0" fillId="2" borderId="0" xfId="0" applyFill="1" applyAlignment="1">
      <alignment vertical="center"/>
    </xf>
    <xf numFmtId="0" fontId="1" fillId="0" borderId="0" xfId="0" applyFont="1" applyFill="1" applyBorder="1"/>
    <xf numFmtId="0" fontId="4" fillId="0" borderId="0" xfId="0" applyFont="1" applyFill="1" applyBorder="1"/>
    <xf numFmtId="0" fontId="1" fillId="0" borderId="0" xfId="0" applyFont="1" applyFill="1" applyBorder="1" applyAlignment="1">
      <alignment horizontal="left" wrapText="1"/>
    </xf>
    <xf numFmtId="0" fontId="0" fillId="2" borderId="0" xfId="0" applyFill="1" applyBorder="1" applyAlignment="1">
      <alignment horizontal="left"/>
    </xf>
    <xf numFmtId="0" fontId="1" fillId="7" borderId="0" xfId="0" applyFont="1" applyFill="1" applyAlignment="1">
      <alignment horizontal="center" wrapText="1"/>
    </xf>
    <xf numFmtId="0" fontId="1" fillId="7" borderId="0" xfId="0" applyFont="1" applyFill="1" applyBorder="1" applyAlignment="1">
      <alignment horizontal="center" wrapText="1"/>
    </xf>
    <xf numFmtId="0" fontId="0" fillId="7" borderId="0" xfId="0" applyFill="1"/>
    <xf numFmtId="0" fontId="5" fillId="2" borderId="0" xfId="0" applyFont="1" applyFill="1"/>
    <xf numFmtId="0" fontId="0" fillId="9" borderId="0" xfId="0" applyFill="1" applyBorder="1"/>
    <xf numFmtId="0" fontId="4" fillId="9" borderId="0" xfId="0" applyFont="1" applyFill="1" applyBorder="1"/>
    <xf numFmtId="0" fontId="1" fillId="9" borderId="0" xfId="0" applyFont="1" applyFill="1" applyBorder="1" applyAlignment="1">
      <alignment horizontal="center" wrapText="1"/>
    </xf>
    <xf numFmtId="0" fontId="0" fillId="9" borderId="0" xfId="0" applyFill="1"/>
    <xf numFmtId="0" fontId="1" fillId="9" borderId="0" xfId="0" applyFont="1" applyFill="1" applyAlignment="1">
      <alignment horizontal="center" wrapText="1"/>
    </xf>
    <xf numFmtId="0" fontId="1" fillId="2" borderId="0" xfId="0" applyFont="1" applyFill="1" applyBorder="1" applyAlignment="1">
      <alignment horizontal="center"/>
    </xf>
    <xf numFmtId="0" fontId="0" fillId="2" borderId="0" xfId="0" applyFill="1" applyBorder="1" applyAlignment="1">
      <alignment horizontal="left"/>
    </xf>
    <xf numFmtId="0" fontId="0" fillId="2" borderId="0" xfId="0" applyFill="1" applyAlignment="1">
      <alignment horizontal="right" wrapText="1"/>
    </xf>
    <xf numFmtId="0" fontId="0" fillId="2" borderId="0" xfId="0" applyFill="1" applyAlignment="1">
      <alignment horizontal="right"/>
    </xf>
    <xf numFmtId="0" fontId="5" fillId="2" borderId="0" xfId="0" applyFont="1" applyFill="1" applyAlignment="1">
      <alignment horizontal="left"/>
    </xf>
    <xf numFmtId="0" fontId="1" fillId="10" borderId="0" xfId="0" applyFont="1" applyFill="1" applyAlignment="1">
      <alignment horizontal="center" wrapText="1"/>
    </xf>
    <xf numFmtId="0" fontId="0" fillId="10" borderId="0" xfId="0" applyFill="1"/>
    <xf numFmtId="0" fontId="0" fillId="10" borderId="0" xfId="0" applyFill="1" applyBorder="1"/>
    <xf numFmtId="0" fontId="0" fillId="11" borderId="0" xfId="0" applyFill="1" applyBorder="1"/>
    <xf numFmtId="0" fontId="4" fillId="11" borderId="0" xfId="0" applyFont="1" applyFill="1" applyBorder="1"/>
    <xf numFmtId="0" fontId="1" fillId="11" borderId="0" xfId="0" applyFont="1" applyFill="1" applyBorder="1" applyAlignment="1">
      <alignment horizontal="center" wrapText="1"/>
    </xf>
    <xf numFmtId="0" fontId="0" fillId="11" borderId="0" xfId="0" applyFill="1"/>
    <xf numFmtId="0" fontId="0" fillId="0" borderId="0" xfId="0" applyFill="1" applyAlignment="1">
      <alignment horizontal="center" wrapText="1"/>
    </xf>
    <xf numFmtId="0" fontId="5" fillId="0" borderId="0" xfId="0" applyFont="1" applyFill="1" applyBorder="1"/>
    <xf numFmtId="0" fontId="4" fillId="10" borderId="0" xfId="0" applyFont="1" applyFill="1" applyBorder="1"/>
    <xf numFmtId="0" fontId="1" fillId="10" borderId="0" xfId="0" applyFont="1" applyFill="1" applyBorder="1" applyAlignment="1">
      <alignment horizontal="center" wrapText="1"/>
    </xf>
    <xf numFmtId="0" fontId="0" fillId="0" borderId="0" xfId="0" applyFill="1" applyBorder="1" applyAlignment="1">
      <alignment horizontal="right"/>
    </xf>
    <xf numFmtId="0" fontId="1" fillId="0" borderId="0" xfId="0" applyFont="1" applyFill="1" applyBorder="1" applyAlignment="1">
      <alignment horizontal="right"/>
    </xf>
    <xf numFmtId="9" fontId="0" fillId="0" borderId="0" xfId="0" applyNumberFormat="1" applyFill="1" applyBorder="1" applyAlignment="1">
      <alignment horizontal="left"/>
    </xf>
    <xf numFmtId="0" fontId="0" fillId="0" borderId="0" xfId="0" applyAlignment="1">
      <alignment horizontal="right"/>
    </xf>
    <xf numFmtId="9" fontId="0" fillId="2" borderId="0" xfId="0" applyNumberFormat="1" applyFill="1"/>
    <xf numFmtId="9" fontId="0" fillId="2" borderId="0" xfId="0" applyNumberFormat="1" applyFill="1" applyBorder="1"/>
    <xf numFmtId="9" fontId="0" fillId="0" borderId="0" xfId="0" applyNumberFormat="1" applyFill="1"/>
    <xf numFmtId="0" fontId="0" fillId="2" borderId="0" xfId="0" applyFill="1" applyAlignment="1">
      <alignment horizontal="left"/>
    </xf>
    <xf numFmtId="0" fontId="4" fillId="0" borderId="0" xfId="0" applyFont="1" applyFill="1" applyBorder="1" applyAlignment="1">
      <alignment horizontal="right"/>
    </xf>
    <xf numFmtId="0" fontId="6" fillId="2" borderId="0" xfId="0" applyFont="1" applyFill="1" applyAlignment="1">
      <alignment horizontal="center" wrapText="1"/>
    </xf>
    <xf numFmtId="49" fontId="0" fillId="6" borderId="1" xfId="0" applyNumberFormat="1" applyFill="1" applyBorder="1" applyAlignment="1">
      <alignment wrapText="1"/>
    </xf>
    <xf numFmtId="0" fontId="0" fillId="6" borderId="1" xfId="0" applyFill="1" applyBorder="1" applyAlignment="1">
      <alignment wrapText="1"/>
    </xf>
    <xf numFmtId="0" fontId="1" fillId="0" borderId="0" xfId="0" applyFont="1" applyAlignment="1">
      <alignment horizontal="center"/>
    </xf>
    <xf numFmtId="0" fontId="0" fillId="0" borderId="0" xfId="0" applyFill="1" applyBorder="1" applyAlignment="1">
      <alignment horizontal="right" wrapText="1"/>
    </xf>
    <xf numFmtId="0" fontId="0" fillId="0" borderId="0" xfId="0" applyAlignment="1">
      <alignment wrapText="1"/>
    </xf>
    <xf numFmtId="0" fontId="1" fillId="0" borderId="0" xfId="0" applyFont="1" applyAlignment="1">
      <alignment horizontal="center" vertical="center"/>
    </xf>
    <xf numFmtId="0" fontId="4" fillId="0" borderId="0" xfId="0" applyFont="1" applyFill="1" applyBorder="1" applyAlignment="1">
      <alignment horizontal="center"/>
    </xf>
    <xf numFmtId="0" fontId="1" fillId="0" borderId="0" xfId="0" applyFont="1" applyAlignment="1">
      <alignment horizontal="right"/>
    </xf>
    <xf numFmtId="0" fontId="4" fillId="0" borderId="0" xfId="0" applyFont="1"/>
    <xf numFmtId="0" fontId="1" fillId="0" borderId="0" xfId="0" applyFont="1"/>
    <xf numFmtId="0" fontId="0" fillId="2" borderId="0" xfId="0" applyFill="1" applyAlignment="1">
      <alignment horizontal="center"/>
    </xf>
    <xf numFmtId="0" fontId="0" fillId="2" borderId="0" xfId="0" applyFill="1" applyBorder="1" applyAlignment="1">
      <alignment horizontal="center"/>
    </xf>
    <xf numFmtId="9" fontId="0" fillId="2" borderId="0" xfId="0" applyNumberFormat="1" applyFill="1" applyAlignment="1">
      <alignment horizontal="center"/>
    </xf>
    <xf numFmtId="2" fontId="0" fillId="0" borderId="0" xfId="0" applyNumberFormat="1"/>
    <xf numFmtId="1" fontId="0" fillId="0" borderId="0" xfId="0" applyNumberFormat="1"/>
    <xf numFmtId="0" fontId="0" fillId="5" borderId="1" xfId="0" applyFill="1" applyBorder="1" applyAlignment="1">
      <alignment horizontal="center"/>
    </xf>
    <xf numFmtId="1" fontId="0" fillId="2" borderId="0" xfId="0" applyNumberFormat="1" applyFill="1" applyAlignment="1">
      <alignment horizontal="center"/>
    </xf>
    <xf numFmtId="0" fontId="0" fillId="0" borderId="0" xfId="0" applyAlignment="1"/>
    <xf numFmtId="0" fontId="1" fillId="0" borderId="0" xfId="0" applyFont="1" applyAlignment="1">
      <alignment wrapText="1"/>
    </xf>
    <xf numFmtId="0" fontId="0" fillId="0" borderId="0" xfId="0" applyFill="1" applyAlignment="1">
      <alignment horizontal="center"/>
    </xf>
    <xf numFmtId="0" fontId="4" fillId="12" borderId="0" xfId="0" applyFont="1" applyFill="1" applyBorder="1" applyAlignment="1">
      <alignment horizontal="center"/>
    </xf>
    <xf numFmtId="0" fontId="0" fillId="12" borderId="0" xfId="0" applyFill="1" applyAlignment="1">
      <alignment horizontal="center"/>
    </xf>
    <xf numFmtId="1" fontId="0" fillId="12" borderId="0" xfId="0" applyNumberFormat="1" applyFill="1" applyAlignment="1">
      <alignment horizontal="center"/>
    </xf>
    <xf numFmtId="164" fontId="0" fillId="12" borderId="0" xfId="0" applyNumberFormat="1" applyFill="1" applyAlignment="1">
      <alignment horizontal="right"/>
    </xf>
    <xf numFmtId="2" fontId="0" fillId="12" borderId="0" xfId="0" applyNumberFormat="1" applyFill="1" applyBorder="1"/>
    <xf numFmtId="1" fontId="0" fillId="12" borderId="0" xfId="0" applyNumberFormat="1" applyFill="1" applyBorder="1"/>
    <xf numFmtId="9" fontId="0" fillId="12" borderId="0" xfId="0" applyNumberFormat="1" applyFill="1" applyBorder="1"/>
    <xf numFmtId="2" fontId="0" fillId="12" borderId="0" xfId="0" applyNumberFormat="1" applyFill="1"/>
    <xf numFmtId="0" fontId="0" fillId="12" borderId="0" xfId="0" applyFill="1"/>
    <xf numFmtId="9" fontId="0" fillId="12" borderId="0" xfId="0" applyNumberFormat="1" applyFont="1" applyFill="1" applyAlignment="1">
      <alignment horizontal="right" wrapText="1"/>
    </xf>
    <xf numFmtId="9" fontId="0" fillId="12" borderId="0" xfId="0" applyNumberFormat="1" applyFill="1"/>
    <xf numFmtId="0" fontId="1" fillId="0" borderId="20" xfId="0" applyFont="1" applyBorder="1"/>
    <xf numFmtId="0" fontId="0" fillId="0" borderId="21" xfId="0" applyBorder="1"/>
    <xf numFmtId="0" fontId="0" fillId="0" borderId="18" xfId="0" applyBorder="1"/>
    <xf numFmtId="0" fontId="0" fillId="0" borderId="0" xfId="0" applyBorder="1"/>
    <xf numFmtId="0" fontId="4" fillId="0" borderId="0" xfId="0" applyFont="1" applyBorder="1"/>
    <xf numFmtId="0" fontId="0" fillId="0" borderId="12" xfId="0" applyBorder="1"/>
    <xf numFmtId="0" fontId="0" fillId="0" borderId="13" xfId="0" applyBorder="1"/>
    <xf numFmtId="0" fontId="0" fillId="13" borderId="0" xfId="0" applyFill="1"/>
    <xf numFmtId="0" fontId="0" fillId="14" borderId="0" xfId="0" applyFill="1"/>
    <xf numFmtId="0" fontId="4" fillId="0" borderId="21" xfId="0" applyFont="1" applyBorder="1"/>
    <xf numFmtId="0" fontId="9" fillId="16" borderId="0" xfId="0" applyFont="1" applyFill="1"/>
    <xf numFmtId="0" fontId="0" fillId="16" borderId="0" xfId="0" applyFill="1"/>
    <xf numFmtId="0" fontId="1" fillId="16" borderId="0" xfId="0" applyFont="1" applyFill="1"/>
    <xf numFmtId="0" fontId="0" fillId="16" borderId="0" xfId="1" applyNumberFormat="1" applyFont="1" applyFill="1"/>
    <xf numFmtId="0" fontId="10" fillId="16" borderId="0" xfId="2" applyNumberFormat="1" applyFont="1" applyFill="1"/>
    <xf numFmtId="0" fontId="0" fillId="16" borderId="0" xfId="0" applyNumberFormat="1" applyFill="1"/>
    <xf numFmtId="0" fontId="4" fillId="16" borderId="0" xfId="0" applyFont="1" applyFill="1" applyAlignment="1">
      <alignment horizontal="right"/>
    </xf>
    <xf numFmtId="0" fontId="4" fillId="16" borderId="0" xfId="0" applyFont="1" applyFill="1"/>
    <xf numFmtId="0" fontId="0" fillId="16" borderId="0" xfId="0" applyFill="1" applyAlignment="1">
      <alignment horizontal="right"/>
    </xf>
    <xf numFmtId="0" fontId="1" fillId="16" borderId="0" xfId="0" applyFont="1" applyFill="1" applyAlignment="1">
      <alignment horizontal="right"/>
    </xf>
    <xf numFmtId="2" fontId="0" fillId="16" borderId="0" xfId="0" applyNumberFormat="1" applyFill="1"/>
    <xf numFmtId="0" fontId="0" fillId="2" borderId="0" xfId="0" applyFill="1" applyBorder="1" applyAlignment="1"/>
    <xf numFmtId="0" fontId="0" fillId="2" borderId="0" xfId="0" applyFill="1" applyBorder="1" applyAlignment="1">
      <alignment vertical="top" wrapText="1"/>
    </xf>
    <xf numFmtId="0" fontId="1" fillId="2" borderId="24" xfId="0" applyFont="1" applyFill="1" applyBorder="1" applyAlignment="1">
      <alignment horizontal="center" wrapText="1"/>
    </xf>
    <xf numFmtId="0" fontId="0" fillId="2" borderId="25" xfId="0" applyFill="1" applyBorder="1"/>
    <xf numFmtId="0" fontId="0" fillId="0" borderId="0" xfId="0" applyFill="1" applyBorder="1" applyAlignment="1">
      <alignment horizontal="center"/>
    </xf>
    <xf numFmtId="9" fontId="0" fillId="0" borderId="0" xfId="1" applyFont="1" applyFill="1" applyAlignment="1">
      <alignment horizontal="center"/>
    </xf>
    <xf numFmtId="0" fontId="0" fillId="2" borderId="0" xfId="0" applyFill="1" applyBorder="1" applyAlignment="1">
      <alignment horizontal="left"/>
    </xf>
    <xf numFmtId="0" fontId="5" fillId="0" borderId="0" xfId="0" applyFont="1" applyFill="1"/>
    <xf numFmtId="0" fontId="1" fillId="0" borderId="0" xfId="0" applyFont="1"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1" fillId="0" borderId="0" xfId="0" applyFont="1" applyFill="1" applyBorder="1" applyAlignment="1">
      <alignment horizontal="left"/>
    </xf>
    <xf numFmtId="0" fontId="11" fillId="0" borderId="0" xfId="3" applyAlignment="1" applyProtection="1"/>
    <xf numFmtId="0" fontId="11" fillId="2" borderId="0" xfId="3" applyFill="1" applyAlignment="1" applyProtection="1"/>
    <xf numFmtId="0" fontId="0" fillId="2" borderId="23" xfId="0" applyFill="1" applyBorder="1" applyProtection="1">
      <protection locked="0"/>
    </xf>
    <xf numFmtId="9" fontId="0" fillId="2" borderId="1" xfId="0" applyNumberFormat="1" applyFill="1" applyBorder="1" applyProtection="1">
      <protection locked="0"/>
    </xf>
    <xf numFmtId="0" fontId="0" fillId="2" borderId="26" xfId="0" applyFill="1" applyBorder="1" applyProtection="1">
      <protection locked="0"/>
    </xf>
    <xf numFmtId="0" fontId="1" fillId="0" borderId="0" xfId="0" applyFont="1" applyFill="1"/>
    <xf numFmtId="0" fontId="0" fillId="2" borderId="0" xfId="0" applyFont="1" applyFill="1" applyAlignment="1">
      <alignment horizontal="left" wrapText="1"/>
    </xf>
    <xf numFmtId="0" fontId="0" fillId="0" borderId="0" xfId="0" applyFont="1" applyAlignment="1">
      <alignment horizontal="left" wrapText="1"/>
    </xf>
    <xf numFmtId="10" fontId="0" fillId="12" borderId="0" xfId="0" applyNumberFormat="1" applyFill="1" applyAlignment="1">
      <alignment horizontal="center"/>
    </xf>
    <xf numFmtId="10" fontId="0" fillId="12" borderId="0" xfId="1" applyNumberFormat="1" applyFont="1" applyFill="1" applyAlignment="1">
      <alignment horizontal="center"/>
    </xf>
    <xf numFmtId="10" fontId="0" fillId="12" borderId="0" xfId="0" applyNumberFormat="1" applyFill="1" applyBorder="1"/>
    <xf numFmtId="10" fontId="0" fillId="12" borderId="0" xfId="0" applyNumberFormat="1" applyFill="1" applyAlignment="1">
      <alignment horizontal="right" wrapText="1"/>
    </xf>
    <xf numFmtId="0" fontId="0" fillId="0" borderId="0" xfId="0"/>
    <xf numFmtId="165" fontId="0" fillId="0" borderId="0" xfId="0" applyNumberFormat="1"/>
    <xf numFmtId="166" fontId="0" fillId="0" borderId="0" xfId="0" applyNumberFormat="1"/>
    <xf numFmtId="9" fontId="0" fillId="0" borderId="0" xfId="0" applyNumberFormat="1" applyFill="1" applyBorder="1" applyAlignment="1">
      <alignment horizontal="right"/>
    </xf>
    <xf numFmtId="0" fontId="11" fillId="0" borderId="0" xfId="3" applyAlignment="1" applyProtection="1">
      <alignment vertical="top"/>
    </xf>
    <xf numFmtId="0" fontId="13" fillId="2" borderId="0" xfId="0" applyFont="1" applyFill="1"/>
    <xf numFmtId="0" fontId="1" fillId="2" borderId="0" xfId="0" applyFont="1" applyFill="1" applyAlignment="1">
      <alignment horizontal="center" vertical="center"/>
    </xf>
    <xf numFmtId="0" fontId="0" fillId="2" borderId="0" xfId="0" applyFill="1" applyBorder="1" applyAlignment="1"/>
    <xf numFmtId="0" fontId="0" fillId="2" borderId="0" xfId="0" applyFill="1" applyBorder="1" applyAlignment="1">
      <alignment horizontal="left"/>
    </xf>
    <xf numFmtId="0" fontId="0" fillId="2" borderId="0" xfId="0" applyFill="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0" fontId="12" fillId="2" borderId="0" xfId="0" applyFont="1" applyFill="1" applyAlignment="1">
      <alignment wrapText="1"/>
    </xf>
    <xf numFmtId="0" fontId="0" fillId="0" borderId="0" xfId="0" applyAlignment="1"/>
    <xf numFmtId="0" fontId="1" fillId="2" borderId="0" xfId="0" applyFont="1" applyFill="1" applyAlignment="1">
      <alignment wrapText="1"/>
    </xf>
    <xf numFmtId="0" fontId="12" fillId="0" borderId="0" xfId="0" applyFont="1"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6" xfId="0" applyFont="1" applyFill="1" applyBorder="1" applyAlignment="1">
      <alignment horizontal="center"/>
    </xf>
    <xf numFmtId="0" fontId="1" fillId="3" borderId="5" xfId="0" applyFont="1"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0" fillId="4" borderId="18" xfId="0" applyFill="1" applyBorder="1" applyAlignment="1">
      <alignment horizontal="center"/>
    </xf>
    <xf numFmtId="0" fontId="0" fillId="4" borderId="0" xfId="0" applyFill="1" applyBorder="1" applyAlignment="1">
      <alignment horizontal="center"/>
    </xf>
    <xf numFmtId="0" fontId="0" fillId="4" borderId="19" xfId="0" applyFill="1" applyBorder="1" applyAlignment="1">
      <alignment horizontal="center"/>
    </xf>
    <xf numFmtId="0" fontId="0" fillId="0" borderId="19" xfId="0" applyBorder="1" applyAlignment="1">
      <alignment wrapText="1"/>
    </xf>
    <xf numFmtId="0" fontId="0" fillId="4" borderId="21" xfId="0" applyFill="1" applyBorder="1" applyAlignment="1"/>
    <xf numFmtId="0" fontId="0" fillId="4" borderId="12" xfId="0" applyFill="1" applyBorder="1" applyAlignment="1"/>
    <xf numFmtId="0" fontId="0" fillId="4" borderId="13" xfId="0" applyFill="1" applyBorder="1" applyAlignment="1"/>
    <xf numFmtId="0" fontId="0" fillId="4" borderId="1" xfId="0" applyFill="1" applyBorder="1" applyAlignment="1">
      <alignment horizontal="center"/>
    </xf>
    <xf numFmtId="0" fontId="0" fillId="5" borderId="1" xfId="0" applyFill="1" applyBorder="1" applyAlignment="1">
      <alignment horizontal="center"/>
    </xf>
    <xf numFmtId="0" fontId="0" fillId="5" borderId="15" xfId="0" applyFill="1" applyBorder="1" applyAlignment="1">
      <alignment horizontal="center"/>
    </xf>
    <xf numFmtId="0" fontId="0" fillId="5" borderId="17" xfId="0" applyFill="1" applyBorder="1" applyAlignment="1">
      <alignment horizontal="center"/>
    </xf>
    <xf numFmtId="0" fontId="0" fillId="8" borderId="19" xfId="0" applyFill="1" applyBorder="1" applyAlignment="1">
      <alignment wrapText="1"/>
    </xf>
    <xf numFmtId="0" fontId="0" fillId="8" borderId="19" xfId="0" applyFill="1" applyBorder="1" applyAlignment="1"/>
    <xf numFmtId="0" fontId="0" fillId="4" borderId="15" xfId="0"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5" borderId="16" xfId="0" applyFill="1" applyBorder="1" applyAlignment="1">
      <alignment horizontal="center"/>
    </xf>
  </cellXfs>
  <cellStyles count="4">
    <cellStyle name="Accent6" xfId="2" builtinId="49"/>
    <cellStyle name="Hyperlink" xfId="3" builtinId="8"/>
    <cellStyle name="Normal" xfId="0" builtinId="0"/>
    <cellStyle name="Percent" xfId="1" builtinId="5"/>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CPU Utilization</a:t>
            </a:r>
          </a:p>
        </c:rich>
      </c:tx>
    </c:title>
    <c:plotArea>
      <c:layout/>
      <c:lineChart>
        <c:grouping val="standard"/>
        <c:ser>
          <c:idx val="0"/>
          <c:order val="0"/>
          <c:tx>
            <c:strRef>
              <c:f>Values!$AQ$25</c:f>
              <c:strCache>
                <c:ptCount val="1"/>
                <c:pt idx="0">
                  <c:v>5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Values!$AQ$26:$AQ$34</c:f>
              <c:numCache>
                <c:formatCode>General</c:formatCode>
                <c:ptCount val="9"/>
                <c:pt idx="0">
                  <c:v>7.2281790511431199</c:v>
                </c:pt>
                <c:pt idx="1">
                  <c:v>33.145695255715601</c:v>
                </c:pt>
                <c:pt idx="2">
                  <c:v>65.5425905114312</c:v>
                </c:pt>
                <c:pt idx="3">
                  <c:v>97.939485767146806</c:v>
                </c:pt>
                <c:pt idx="4">
                  <c:v>130.33638102286241</c:v>
                </c:pt>
                <c:pt idx="5">
                  <c:v>162.73327627857802</c:v>
                </c:pt>
                <c:pt idx="6">
                  <c:v>195.13017153429359</c:v>
                </c:pt>
                <c:pt idx="7">
                  <c:v>227.5270667900092</c:v>
                </c:pt>
                <c:pt idx="8">
                  <c:v>259.92396204572481</c:v>
                </c:pt>
              </c:numCache>
            </c:numRef>
          </c:val>
        </c:ser>
        <c:ser>
          <c:idx val="1"/>
          <c:order val="1"/>
          <c:tx>
            <c:strRef>
              <c:f>Values!$AR$25</c:f>
              <c:strCache>
                <c:ptCount val="1"/>
                <c:pt idx="0">
                  <c:v>3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Values!$AR$26:$AR$34</c:f>
              <c:numCache>
                <c:formatCode>General</c:formatCode>
                <c:ptCount val="9"/>
                <c:pt idx="0">
                  <c:v>5.1901101175551654</c:v>
                </c:pt>
                <c:pt idx="1">
                  <c:v>17.558550587775827</c:v>
                </c:pt>
                <c:pt idx="2">
                  <c:v>33.019101175551654</c:v>
                </c:pt>
                <c:pt idx="3">
                  <c:v>48.479651763327489</c:v>
                </c:pt>
                <c:pt idx="4">
                  <c:v>63.940202351103309</c:v>
                </c:pt>
                <c:pt idx="5">
                  <c:v>79.400752938879137</c:v>
                </c:pt>
                <c:pt idx="6">
                  <c:v>94.861303526654979</c:v>
                </c:pt>
                <c:pt idx="7">
                  <c:v>110.32185411443079</c:v>
                </c:pt>
                <c:pt idx="8">
                  <c:v>125.78240470220661</c:v>
                </c:pt>
              </c:numCache>
            </c:numRef>
          </c:val>
        </c:ser>
        <c:ser>
          <c:idx val="2"/>
          <c:order val="2"/>
          <c:tx>
            <c:strRef>
              <c:f>Values!$AS$25</c:f>
              <c:strCache>
                <c:ptCount val="1"/>
                <c:pt idx="0">
                  <c:v>1 engine</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Values!$AS$26:$AS$34</c:f>
              <c:numCache>
                <c:formatCode>General</c:formatCode>
                <c:ptCount val="9"/>
                <c:pt idx="0">
                  <c:v>3.9325840959237461</c:v>
                </c:pt>
                <c:pt idx="1">
                  <c:v>15.253320479618729</c:v>
                </c:pt>
                <c:pt idx="2">
                  <c:v>29.404240959237463</c:v>
                </c:pt>
                <c:pt idx="3">
                  <c:v>43.555161438856203</c:v>
                </c:pt>
                <c:pt idx="4">
                  <c:v>57.706081918474922</c:v>
                </c:pt>
                <c:pt idx="5">
                  <c:v>71.85700239809367</c:v>
                </c:pt>
                <c:pt idx="6">
                  <c:v>86.007922877712403</c:v>
                </c:pt>
                <c:pt idx="7">
                  <c:v>100.15884335733112</c:v>
                </c:pt>
                <c:pt idx="8">
                  <c:v>114.30976383694986</c:v>
                </c:pt>
              </c:numCache>
            </c:numRef>
          </c:val>
        </c:ser>
        <c:ser>
          <c:idx val="3"/>
          <c:order val="3"/>
          <c:tx>
            <c:strRef>
              <c:f>Values!$AT$25</c:f>
              <c:strCache>
                <c:ptCount val="1"/>
                <c:pt idx="0">
                  <c:v>Exchange only</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Values!$AT$26:$AT$34</c:f>
              <c:numCache>
                <c:formatCode>General</c:formatCode>
                <c:ptCount val="9"/>
                <c:pt idx="0">
                  <c:v>1.1727628312627449</c:v>
                </c:pt>
                <c:pt idx="1">
                  <c:v>4.1678093461871422</c:v>
                </c:pt>
                <c:pt idx="2">
                  <c:v>7.911617489842639</c:v>
                </c:pt>
                <c:pt idx="3">
                  <c:v>11.655425633498137</c:v>
                </c:pt>
                <c:pt idx="4">
                  <c:v>15.399233777153633</c:v>
                </c:pt>
                <c:pt idx="5">
                  <c:v>19.143041920809132</c:v>
                </c:pt>
                <c:pt idx="6">
                  <c:v>22.886850064464632</c:v>
                </c:pt>
                <c:pt idx="7">
                  <c:v>26.630658208120124</c:v>
                </c:pt>
                <c:pt idx="8">
                  <c:v>30.37446635177562</c:v>
                </c:pt>
              </c:numCache>
            </c:numRef>
          </c:val>
        </c:ser>
        <c:hiLowLines/>
        <c:marker val="1"/>
        <c:axId val="115594368"/>
        <c:axId val="115596288"/>
      </c:lineChart>
      <c:catAx>
        <c:axId val="115594368"/>
        <c:scaling>
          <c:orientation val="minMax"/>
        </c:scaling>
        <c:axPos val="b"/>
        <c:minorGridlines/>
        <c:title>
          <c:tx>
            <c:rich>
              <a:bodyPr/>
              <a:lstStyle/>
              <a:p>
                <a:pPr>
                  <a:defRPr/>
                </a:pPr>
                <a:r>
                  <a:rPr lang="en-US"/>
                  <a:t>Message Rate (messages/second)</a:t>
                </a:r>
              </a:p>
            </c:rich>
          </c:tx>
        </c:title>
        <c:numFmt formatCode="0" sourceLinked="1"/>
        <c:majorTickMark val="none"/>
        <c:tickLblPos val="nextTo"/>
        <c:crossAx val="115596288"/>
        <c:crosses val="autoZero"/>
        <c:auto val="1"/>
        <c:lblAlgn val="ctr"/>
        <c:lblOffset val="100"/>
      </c:catAx>
      <c:valAx>
        <c:axId val="115596288"/>
        <c:scaling>
          <c:orientation val="minMax"/>
        </c:scaling>
        <c:axPos val="l"/>
        <c:majorGridlines/>
        <c:title>
          <c:tx>
            <c:rich>
              <a:bodyPr/>
              <a:lstStyle/>
              <a:p>
                <a:pPr>
                  <a:defRPr/>
                </a:pPr>
                <a:r>
                  <a:rPr lang="en-US"/>
                  <a:t>% Utilization</a:t>
                </a:r>
              </a:p>
            </c:rich>
          </c:tx>
        </c:title>
        <c:numFmt formatCode="General" sourceLinked="1"/>
        <c:tickLblPos val="nextTo"/>
        <c:crossAx val="115594368"/>
        <c:crosses val="autoZero"/>
        <c:crossBetween val="between"/>
      </c:valAx>
    </c:plotArea>
    <c:legend>
      <c:legendPos val="r"/>
    </c:legend>
    <c:plotVisOnly val="1"/>
  </c:chart>
  <c:printSettings>
    <c:headerFooter/>
    <c:pageMargins b="0.750000000000002" l="0.70000000000000062" r="0.70000000000000062" t="0.75000000000000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Mailbox Server: CPU Utilization</a:t>
            </a:r>
          </a:p>
        </c:rich>
      </c:tx>
    </c:title>
    <c:plotArea>
      <c:layout/>
      <c:lineChart>
        <c:grouping val="standard"/>
        <c:ser>
          <c:idx val="0"/>
          <c:order val="0"/>
          <c:tx>
            <c:strRef>
              <c:f>Values!$BU$7</c:f>
              <c:strCache>
                <c:ptCount val="1"/>
                <c:pt idx="0">
                  <c:v>5 engines</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Values!$BU$8:$BU$12</c:f>
              <c:numCache>
                <c:formatCode>General</c:formatCode>
                <c:ptCount val="5"/>
                <c:pt idx="0">
                  <c:v>43.734000000000009</c:v>
                </c:pt>
                <c:pt idx="1">
                  <c:v>67.470520000000008</c:v>
                </c:pt>
                <c:pt idx="2">
                  <c:v>91.207040000000021</c:v>
                </c:pt>
                <c:pt idx="3">
                  <c:v>114.94356000000003</c:v>
                </c:pt>
                <c:pt idx="4">
                  <c:v>138.68008000000006</c:v>
                </c:pt>
              </c:numCache>
            </c:numRef>
          </c:val>
        </c:ser>
        <c:ser>
          <c:idx val="1"/>
          <c:order val="1"/>
          <c:tx>
            <c:strRef>
              <c:f>Values!$BV$7</c:f>
              <c:strCache>
                <c:ptCount val="1"/>
                <c:pt idx="0">
                  <c:v>3 engines</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Values!$BV$8:$BV$12</c:f>
              <c:numCache>
                <c:formatCode>General</c:formatCode>
                <c:ptCount val="5"/>
                <c:pt idx="0">
                  <c:v>42.886400000000002</c:v>
                </c:pt>
                <c:pt idx="1">
                  <c:v>65.998520000000013</c:v>
                </c:pt>
                <c:pt idx="2">
                  <c:v>89.110640000000018</c:v>
                </c:pt>
                <c:pt idx="3">
                  <c:v>112.22276000000002</c:v>
                </c:pt>
                <c:pt idx="4">
                  <c:v>135.33488000000006</c:v>
                </c:pt>
              </c:numCache>
            </c:numRef>
          </c:val>
        </c:ser>
        <c:ser>
          <c:idx val="2"/>
          <c:order val="2"/>
          <c:tx>
            <c:strRef>
              <c:f>Values!$BW$7</c:f>
              <c:strCache>
                <c:ptCount val="1"/>
                <c:pt idx="0">
                  <c:v>1 engine</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Values!$BW$8:$BW$12</c:f>
              <c:numCache>
                <c:formatCode>General</c:formatCode>
                <c:ptCount val="5"/>
                <c:pt idx="0">
                  <c:v>42.501025000000006</c:v>
                </c:pt>
                <c:pt idx="1">
                  <c:v>65.149170000000012</c:v>
                </c:pt>
                <c:pt idx="2">
                  <c:v>87.797315000000012</c:v>
                </c:pt>
                <c:pt idx="3">
                  <c:v>110.44546000000001</c:v>
                </c:pt>
                <c:pt idx="4">
                  <c:v>133.09360500000003</c:v>
                </c:pt>
              </c:numCache>
            </c:numRef>
          </c:val>
        </c:ser>
        <c:ser>
          <c:idx val="3"/>
          <c:order val="3"/>
          <c:tx>
            <c:strRef>
              <c:f>Values!$BX$7</c:f>
              <c:strCache>
                <c:ptCount val="1"/>
                <c:pt idx="0">
                  <c:v>Exchange only</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Values!$BX$8:$BX$12</c:f>
              <c:numCache>
                <c:formatCode>General</c:formatCode>
                <c:ptCount val="5"/>
                <c:pt idx="0">
                  <c:v>39.558300000000003</c:v>
                </c:pt>
                <c:pt idx="1">
                  <c:v>59.42822000000001</c:v>
                </c:pt>
                <c:pt idx="2">
                  <c:v>79.298140000000018</c:v>
                </c:pt>
                <c:pt idx="3">
                  <c:v>99.168060000000025</c:v>
                </c:pt>
                <c:pt idx="4">
                  <c:v>119.03798000000003</c:v>
                </c:pt>
              </c:numCache>
            </c:numRef>
          </c:val>
        </c:ser>
        <c:hiLowLines/>
        <c:marker val="1"/>
        <c:axId val="119315456"/>
        <c:axId val="119329920"/>
      </c:lineChart>
      <c:catAx>
        <c:axId val="119315456"/>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119329920"/>
        <c:crosses val="autoZero"/>
        <c:auto val="1"/>
        <c:lblAlgn val="ctr"/>
        <c:lblOffset val="100"/>
      </c:catAx>
      <c:valAx>
        <c:axId val="119329920"/>
        <c:scaling>
          <c:orientation val="minMax"/>
          <c:max val="140"/>
          <c:min val="40"/>
        </c:scaling>
        <c:axPos val="l"/>
        <c:majorGridlines/>
        <c:title>
          <c:tx>
            <c:rich>
              <a:bodyPr/>
              <a:lstStyle/>
              <a:p>
                <a:pPr>
                  <a:defRPr/>
                </a:pPr>
                <a:r>
                  <a:rPr lang="en-US"/>
                  <a:t>% Utilization</a:t>
                </a:r>
              </a:p>
            </c:rich>
          </c:tx>
        </c:title>
        <c:numFmt formatCode="General" sourceLinked="1"/>
        <c:tickLblPos val="nextTo"/>
        <c:crossAx val="119315456"/>
        <c:crosses val="autoZero"/>
        <c:crossBetween val="between"/>
      </c:valAx>
    </c:plotArea>
    <c:legend>
      <c:legendPos val="r"/>
    </c:legend>
    <c:plotVisOnly val="1"/>
  </c:chart>
  <c:printSettings>
    <c:headerFooter/>
    <c:pageMargins b="0.75000000000000233" l="0.70000000000000062" r="0.70000000000000062" t="0.750000000000002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CPU Utilization</a:t>
            </a:r>
          </a:p>
        </c:rich>
      </c:tx>
    </c:title>
    <c:plotArea>
      <c:layout/>
      <c:lineChart>
        <c:grouping val="standard"/>
        <c:ser>
          <c:idx val="0"/>
          <c:order val="0"/>
          <c:tx>
            <c:strRef>
              <c:f>Values!$AQ$7</c:f>
              <c:strCache>
                <c:ptCount val="1"/>
                <c:pt idx="0">
                  <c:v>5 engines</c:v>
                </c:pt>
              </c:strCache>
            </c:strRef>
          </c:tx>
          <c:marker>
            <c:symbol val="none"/>
          </c:marker>
          <c:cat>
            <c:numRef>
              <c:f>Values!$AP$8:$AP$22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Values!$AQ$8:$AQ$22</c:f>
              <c:numCache>
                <c:formatCode>General</c:formatCode>
                <c:ptCount val="15"/>
                <c:pt idx="0">
                  <c:v>9.2762085854538139</c:v>
                </c:pt>
                <c:pt idx="1">
                  <c:v>17.803617170907629</c:v>
                </c:pt>
                <c:pt idx="2">
                  <c:v>26.331025756361445</c:v>
                </c:pt>
                <c:pt idx="3">
                  <c:v>34.858434341815261</c:v>
                </c:pt>
                <c:pt idx="4">
                  <c:v>43.385842927269074</c:v>
                </c:pt>
                <c:pt idx="5">
                  <c:v>51.913251512722894</c:v>
                </c:pt>
                <c:pt idx="6">
                  <c:v>60.440660098176707</c:v>
                </c:pt>
                <c:pt idx="7">
                  <c:v>68.96806868363052</c:v>
                </c:pt>
                <c:pt idx="8">
                  <c:v>77.495477269084347</c:v>
                </c:pt>
                <c:pt idx="9">
                  <c:v>86.022885854538146</c:v>
                </c:pt>
                <c:pt idx="10">
                  <c:v>94.550294439991973</c:v>
                </c:pt>
                <c:pt idx="11">
                  <c:v>103.07770302544579</c:v>
                </c:pt>
                <c:pt idx="12">
                  <c:v>111.60511161089958</c:v>
                </c:pt>
                <c:pt idx="13">
                  <c:v>120.13252019635341</c:v>
                </c:pt>
                <c:pt idx="14">
                  <c:v>128.65992878180722</c:v>
                </c:pt>
              </c:numCache>
            </c:numRef>
          </c:val>
        </c:ser>
        <c:ser>
          <c:idx val="1"/>
          <c:order val="1"/>
          <c:tx>
            <c:strRef>
              <c:f>Values!$AR$7</c:f>
              <c:strCache>
                <c:ptCount val="1"/>
                <c:pt idx="0">
                  <c:v>3 engines</c:v>
                </c:pt>
              </c:strCache>
            </c:strRef>
          </c:tx>
          <c:marker>
            <c:symbol val="none"/>
          </c:marker>
          <c:cat>
            <c:numRef>
              <c:f>Values!$AP$8:$AP$22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Values!$AR$8:$AR$22</c:f>
              <c:numCache>
                <c:formatCode>General</c:formatCode>
                <c:ptCount val="15"/>
                <c:pt idx="0">
                  <c:v>6.1674773612537184</c:v>
                </c:pt>
                <c:pt idx="1">
                  <c:v>10.236954722507436</c:v>
                </c:pt>
                <c:pt idx="2">
                  <c:v>14.306432083761154</c:v>
                </c:pt>
                <c:pt idx="3">
                  <c:v>18.375909445014873</c:v>
                </c:pt>
                <c:pt idx="4">
                  <c:v>22.445386806268591</c:v>
                </c:pt>
                <c:pt idx="5">
                  <c:v>26.514864167522308</c:v>
                </c:pt>
                <c:pt idx="6">
                  <c:v>30.584341528776022</c:v>
                </c:pt>
                <c:pt idx="7">
                  <c:v>34.653818890029747</c:v>
                </c:pt>
                <c:pt idx="8">
                  <c:v>38.723296251283465</c:v>
                </c:pt>
                <c:pt idx="9">
                  <c:v>42.792773612537182</c:v>
                </c:pt>
                <c:pt idx="10">
                  <c:v>46.8622509737909</c:v>
                </c:pt>
                <c:pt idx="11">
                  <c:v>50.931728335044617</c:v>
                </c:pt>
                <c:pt idx="12">
                  <c:v>55.001205696298328</c:v>
                </c:pt>
                <c:pt idx="13">
                  <c:v>59.070683057552046</c:v>
                </c:pt>
                <c:pt idx="14">
                  <c:v>63.140160418805756</c:v>
                </c:pt>
              </c:numCache>
            </c:numRef>
          </c:val>
        </c:ser>
        <c:ser>
          <c:idx val="2"/>
          <c:order val="2"/>
          <c:tx>
            <c:strRef>
              <c:f>Values!$AS$7</c:f>
              <c:strCache>
                <c:ptCount val="1"/>
                <c:pt idx="0">
                  <c:v>1 engine</c:v>
                </c:pt>
              </c:strCache>
            </c:strRef>
          </c:tx>
          <c:marker>
            <c:symbol val="none"/>
          </c:marker>
          <c:cat>
            <c:numRef>
              <c:f>Values!$AP$8:$AP$22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Values!$AS$8:$AS$22</c:f>
              <c:numCache>
                <c:formatCode>General</c:formatCode>
                <c:ptCount val="15"/>
                <c:pt idx="0">
                  <c:v>4.8271606549175656</c:v>
                </c:pt>
                <c:pt idx="1">
                  <c:v>8.5519213098351301</c:v>
                </c:pt>
                <c:pt idx="2">
                  <c:v>12.276681964752694</c:v>
                </c:pt>
                <c:pt idx="3">
                  <c:v>16.001442619670261</c:v>
                </c:pt>
                <c:pt idx="4">
                  <c:v>19.726203274587824</c:v>
                </c:pt>
                <c:pt idx="5">
                  <c:v>23.450963929505388</c:v>
                </c:pt>
                <c:pt idx="6">
                  <c:v>27.175724584422952</c:v>
                </c:pt>
                <c:pt idx="7">
                  <c:v>30.900485239340519</c:v>
                </c:pt>
                <c:pt idx="8">
                  <c:v>34.625245894258086</c:v>
                </c:pt>
                <c:pt idx="9">
                  <c:v>38.350006549175653</c:v>
                </c:pt>
                <c:pt idx="10">
                  <c:v>42.074767204093213</c:v>
                </c:pt>
                <c:pt idx="11">
                  <c:v>45.79952785901078</c:v>
                </c:pt>
                <c:pt idx="12">
                  <c:v>49.52428851392834</c:v>
                </c:pt>
                <c:pt idx="13">
                  <c:v>53.249049168845907</c:v>
                </c:pt>
                <c:pt idx="14">
                  <c:v>56.973809823763467</c:v>
                </c:pt>
              </c:numCache>
            </c:numRef>
          </c:val>
        </c:ser>
        <c:ser>
          <c:idx val="3"/>
          <c:order val="3"/>
          <c:tx>
            <c:strRef>
              <c:f>Values!$AT$7</c:f>
              <c:strCache>
                <c:ptCount val="1"/>
                <c:pt idx="0">
                  <c:v>Exchange only</c:v>
                </c:pt>
              </c:strCache>
            </c:strRef>
          </c:tx>
          <c:marker>
            <c:symbol val="none"/>
          </c:marker>
          <c:cat>
            <c:numRef>
              <c:f>Values!$AP$8:$AP$22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Values!$AT$8:$AT$22</c:f>
              <c:numCache>
                <c:formatCode>General</c:formatCode>
                <c:ptCount val="15"/>
                <c:pt idx="0">
                  <c:v>1.4094345736775258</c:v>
                </c:pt>
                <c:pt idx="1">
                  <c:v>2.3948679448234058</c:v>
                </c:pt>
                <c:pt idx="2">
                  <c:v>3.3803013159692856</c:v>
                </c:pt>
                <c:pt idx="3">
                  <c:v>4.3657346871151663</c:v>
                </c:pt>
                <c:pt idx="4">
                  <c:v>5.351168058261047</c:v>
                </c:pt>
                <c:pt idx="5">
                  <c:v>6.3366014294069259</c:v>
                </c:pt>
                <c:pt idx="6">
                  <c:v>7.3220348005528066</c:v>
                </c:pt>
                <c:pt idx="7">
                  <c:v>8.3074681716986873</c:v>
                </c:pt>
                <c:pt idx="8">
                  <c:v>9.292901542844568</c:v>
                </c:pt>
                <c:pt idx="9">
                  <c:v>10.278334913990447</c:v>
                </c:pt>
                <c:pt idx="10">
                  <c:v>11.263768285136328</c:v>
                </c:pt>
                <c:pt idx="11">
                  <c:v>12.249201656282207</c:v>
                </c:pt>
                <c:pt idx="12">
                  <c:v>13.234635027428087</c:v>
                </c:pt>
                <c:pt idx="13">
                  <c:v>14.220068398573968</c:v>
                </c:pt>
                <c:pt idx="14">
                  <c:v>15.205501769719845</c:v>
                </c:pt>
              </c:numCache>
            </c:numRef>
          </c:val>
        </c:ser>
        <c:hiLowLines/>
        <c:marker val="1"/>
        <c:axId val="121683328"/>
        <c:axId val="121812480"/>
      </c:lineChart>
      <c:catAx>
        <c:axId val="121683328"/>
        <c:scaling>
          <c:orientation val="minMax"/>
        </c:scaling>
        <c:axPos val="b"/>
        <c:title>
          <c:tx>
            <c:rich>
              <a:bodyPr/>
              <a:lstStyle/>
              <a:p>
                <a:pPr>
                  <a:defRPr/>
                </a:pPr>
                <a:r>
                  <a:rPr lang="en-US"/>
                  <a:t>Number of Mailboxes</a:t>
                </a:r>
              </a:p>
            </c:rich>
          </c:tx>
        </c:title>
        <c:numFmt formatCode="General" sourceLinked="1"/>
        <c:majorTickMark val="none"/>
        <c:tickLblPos val="nextTo"/>
        <c:crossAx val="121812480"/>
        <c:crosses val="autoZero"/>
        <c:auto val="1"/>
        <c:lblAlgn val="ctr"/>
        <c:lblOffset val="100"/>
      </c:catAx>
      <c:valAx>
        <c:axId val="121812480"/>
        <c:scaling>
          <c:orientation val="minMax"/>
        </c:scaling>
        <c:axPos val="l"/>
        <c:majorGridlines/>
        <c:title>
          <c:tx>
            <c:rich>
              <a:bodyPr/>
              <a:lstStyle/>
              <a:p>
                <a:pPr>
                  <a:defRPr/>
                </a:pPr>
                <a:r>
                  <a:rPr lang="en-US"/>
                  <a:t>% Utilization</a:t>
                </a:r>
              </a:p>
            </c:rich>
          </c:tx>
        </c:title>
        <c:numFmt formatCode="General" sourceLinked="1"/>
        <c:tickLblPos val="nextTo"/>
        <c:crossAx val="121683328"/>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Memory Utilization</a:t>
            </a:r>
          </a:p>
        </c:rich>
      </c:tx>
    </c:title>
    <c:plotArea>
      <c:layout/>
      <c:lineChart>
        <c:grouping val="standard"/>
        <c:ser>
          <c:idx val="0"/>
          <c:order val="0"/>
          <c:tx>
            <c:strRef>
              <c:f>Values!$AV$7</c:f>
              <c:strCache>
                <c:ptCount val="1"/>
                <c:pt idx="0">
                  <c:v>5 engines</c:v>
                </c:pt>
              </c:strCache>
            </c:strRef>
          </c:tx>
          <c:marker>
            <c:symbol val="none"/>
          </c:marker>
          <c:cat>
            <c:numRef>
              <c:f>Values!$AU$8:$AU$22</c:f>
              <c:numCache>
                <c:formatCode>General</c:formatCode>
                <c:ptCount val="15"/>
                <c:pt idx="0">
                  <c:v>1519.6595744680849</c:v>
                </c:pt>
                <c:pt idx="1">
                  <c:v>7598.2978723404249</c:v>
                </c:pt>
                <c:pt idx="2">
                  <c:v>15196.59574468085</c:v>
                </c:pt>
                <c:pt idx="3">
                  <c:v>22794.893617021276</c:v>
                </c:pt>
                <c:pt idx="4">
                  <c:v>30393.191489361699</c:v>
                </c:pt>
                <c:pt idx="5">
                  <c:v>37991.48936170213</c:v>
                </c:pt>
                <c:pt idx="6">
                  <c:v>45589.787234042553</c:v>
                </c:pt>
                <c:pt idx="7">
                  <c:v>53188.085106382976</c:v>
                </c:pt>
                <c:pt idx="8">
                  <c:v>60786.382978723399</c:v>
                </c:pt>
              </c:numCache>
            </c:numRef>
          </c:cat>
          <c:val>
            <c:numRef>
              <c:f>Values!$AV$8:$AV$22</c:f>
              <c:numCache>
                <c:formatCode>General</c:formatCode>
                <c:ptCount val="15"/>
                <c:pt idx="0">
                  <c:v>62.650499586027038</c:v>
                </c:pt>
                <c:pt idx="1">
                  <c:v>62.650599172054072</c:v>
                </c:pt>
                <c:pt idx="2">
                  <c:v>62.650698758081113</c:v>
                </c:pt>
                <c:pt idx="3">
                  <c:v>62.650798344108154</c:v>
                </c:pt>
                <c:pt idx="4">
                  <c:v>62.650897930135187</c:v>
                </c:pt>
                <c:pt idx="5">
                  <c:v>62.650997516162228</c:v>
                </c:pt>
                <c:pt idx="6">
                  <c:v>62.651097102189269</c:v>
                </c:pt>
                <c:pt idx="7">
                  <c:v>62.651196688216302</c:v>
                </c:pt>
                <c:pt idx="8">
                  <c:v>62.651296274243343</c:v>
                </c:pt>
              </c:numCache>
            </c:numRef>
          </c:val>
        </c:ser>
        <c:ser>
          <c:idx val="1"/>
          <c:order val="1"/>
          <c:tx>
            <c:strRef>
              <c:f>Values!$AW$7</c:f>
              <c:strCache>
                <c:ptCount val="1"/>
                <c:pt idx="0">
                  <c:v>3 engines</c:v>
                </c:pt>
              </c:strCache>
            </c:strRef>
          </c:tx>
          <c:marker>
            <c:symbol val="none"/>
          </c:marker>
          <c:cat>
            <c:numRef>
              <c:f>Values!$AU$8:$AU$22</c:f>
              <c:numCache>
                <c:formatCode>General</c:formatCode>
                <c:ptCount val="15"/>
                <c:pt idx="0">
                  <c:v>1519.6595744680849</c:v>
                </c:pt>
                <c:pt idx="1">
                  <c:v>7598.2978723404249</c:v>
                </c:pt>
                <c:pt idx="2">
                  <c:v>15196.59574468085</c:v>
                </c:pt>
                <c:pt idx="3">
                  <c:v>22794.893617021276</c:v>
                </c:pt>
                <c:pt idx="4">
                  <c:v>30393.191489361699</c:v>
                </c:pt>
                <c:pt idx="5">
                  <c:v>37991.48936170213</c:v>
                </c:pt>
                <c:pt idx="6">
                  <c:v>45589.787234042553</c:v>
                </c:pt>
                <c:pt idx="7">
                  <c:v>53188.085106382976</c:v>
                </c:pt>
                <c:pt idx="8">
                  <c:v>60786.382978723399</c:v>
                </c:pt>
              </c:numCache>
            </c:numRef>
          </c:cat>
          <c:val>
            <c:numRef>
              <c:f>Values!$AW$8:$AW$22</c:f>
              <c:numCache>
                <c:formatCode>General</c:formatCode>
                <c:ptCount val="15"/>
                <c:pt idx="0">
                  <c:v>53.060181993420088</c:v>
                </c:pt>
                <c:pt idx="1">
                  <c:v>53.060263986840177</c:v>
                </c:pt>
                <c:pt idx="2">
                  <c:v>53.060345980260266</c:v>
                </c:pt>
                <c:pt idx="3">
                  <c:v>53.060427973680355</c:v>
                </c:pt>
                <c:pt idx="4">
                  <c:v>53.060509967100444</c:v>
                </c:pt>
                <c:pt idx="5">
                  <c:v>53.060591960520533</c:v>
                </c:pt>
                <c:pt idx="6">
                  <c:v>53.060673953940629</c:v>
                </c:pt>
                <c:pt idx="7">
                  <c:v>53.060755947360718</c:v>
                </c:pt>
                <c:pt idx="8">
                  <c:v>53.060837940780807</c:v>
                </c:pt>
              </c:numCache>
            </c:numRef>
          </c:val>
        </c:ser>
        <c:ser>
          <c:idx val="2"/>
          <c:order val="2"/>
          <c:tx>
            <c:strRef>
              <c:f>Values!$AX$7</c:f>
              <c:strCache>
                <c:ptCount val="1"/>
                <c:pt idx="0">
                  <c:v>1 engine</c:v>
                </c:pt>
              </c:strCache>
            </c:strRef>
          </c:tx>
          <c:marker>
            <c:symbol val="none"/>
          </c:marker>
          <c:cat>
            <c:numRef>
              <c:f>Values!$AU$8:$AU$22</c:f>
              <c:numCache>
                <c:formatCode>General</c:formatCode>
                <c:ptCount val="15"/>
                <c:pt idx="0">
                  <c:v>1519.6595744680849</c:v>
                </c:pt>
                <c:pt idx="1">
                  <c:v>7598.2978723404249</c:v>
                </c:pt>
                <c:pt idx="2">
                  <c:v>15196.59574468085</c:v>
                </c:pt>
                <c:pt idx="3">
                  <c:v>22794.893617021276</c:v>
                </c:pt>
                <c:pt idx="4">
                  <c:v>30393.191489361699</c:v>
                </c:pt>
                <c:pt idx="5">
                  <c:v>37991.48936170213</c:v>
                </c:pt>
                <c:pt idx="6">
                  <c:v>45589.787234042553</c:v>
                </c:pt>
                <c:pt idx="7">
                  <c:v>53188.085106382976</c:v>
                </c:pt>
                <c:pt idx="8">
                  <c:v>60786.382978723399</c:v>
                </c:pt>
              </c:numCache>
            </c:numRef>
          </c:cat>
          <c:val>
            <c:numRef>
              <c:f>Values!$AX$8:$AX$22</c:f>
              <c:numCache>
                <c:formatCode>General</c:formatCode>
                <c:ptCount val="15"/>
                <c:pt idx="0">
                  <c:v>47.503935240527916</c:v>
                </c:pt>
                <c:pt idx="1">
                  <c:v>47.503970481055831</c:v>
                </c:pt>
                <c:pt idx="2">
                  <c:v>47.504005721583745</c:v>
                </c:pt>
                <c:pt idx="3">
                  <c:v>47.504040962111659</c:v>
                </c:pt>
                <c:pt idx="4">
                  <c:v>47.504076202639574</c:v>
                </c:pt>
                <c:pt idx="5">
                  <c:v>47.504111443167481</c:v>
                </c:pt>
                <c:pt idx="6">
                  <c:v>47.504146683695396</c:v>
                </c:pt>
                <c:pt idx="7">
                  <c:v>47.50418192422331</c:v>
                </c:pt>
                <c:pt idx="8">
                  <c:v>47.504217164751225</c:v>
                </c:pt>
              </c:numCache>
            </c:numRef>
          </c:val>
        </c:ser>
        <c:ser>
          <c:idx val="3"/>
          <c:order val="3"/>
          <c:tx>
            <c:strRef>
              <c:f>Values!$AY$7</c:f>
              <c:strCache>
                <c:ptCount val="1"/>
                <c:pt idx="0">
                  <c:v>Exchange only</c:v>
                </c:pt>
              </c:strCache>
            </c:strRef>
          </c:tx>
          <c:marker>
            <c:symbol val="none"/>
          </c:marker>
          <c:cat>
            <c:numRef>
              <c:f>Values!$AU$8:$AU$22</c:f>
              <c:numCache>
                <c:formatCode>General</c:formatCode>
                <c:ptCount val="15"/>
                <c:pt idx="0">
                  <c:v>1519.6595744680849</c:v>
                </c:pt>
                <c:pt idx="1">
                  <c:v>7598.2978723404249</c:v>
                </c:pt>
                <c:pt idx="2">
                  <c:v>15196.59574468085</c:v>
                </c:pt>
                <c:pt idx="3">
                  <c:v>22794.893617021276</c:v>
                </c:pt>
                <c:pt idx="4">
                  <c:v>30393.191489361699</c:v>
                </c:pt>
                <c:pt idx="5">
                  <c:v>37991.48936170213</c:v>
                </c:pt>
                <c:pt idx="6">
                  <c:v>45589.787234042553</c:v>
                </c:pt>
                <c:pt idx="7">
                  <c:v>53188.085106382976</c:v>
                </c:pt>
                <c:pt idx="8">
                  <c:v>60786.382978723399</c:v>
                </c:pt>
              </c:numCache>
            </c:numRef>
          </c:cat>
          <c:val>
            <c:numRef>
              <c:f>Values!$AY$8:$AY$22</c:f>
              <c:numCache>
                <c:formatCode>General</c:formatCode>
                <c:ptCount val="15"/>
                <c:pt idx="0">
                  <c:v>38.3814448241299</c:v>
                </c:pt>
                <c:pt idx="1">
                  <c:v>38.397189648259797</c:v>
                </c:pt>
                <c:pt idx="2">
                  <c:v>38.412934472389701</c:v>
                </c:pt>
                <c:pt idx="3">
                  <c:v>38.428679296519597</c:v>
                </c:pt>
                <c:pt idx="4">
                  <c:v>38.444424120649494</c:v>
                </c:pt>
                <c:pt idx="5">
                  <c:v>38.46016894477939</c:v>
                </c:pt>
                <c:pt idx="6">
                  <c:v>38.475913768909294</c:v>
                </c:pt>
                <c:pt idx="7">
                  <c:v>38.49165859303919</c:v>
                </c:pt>
                <c:pt idx="8">
                  <c:v>38.507403417169087</c:v>
                </c:pt>
              </c:numCache>
            </c:numRef>
          </c:val>
        </c:ser>
        <c:hiLowLines/>
        <c:marker val="1"/>
        <c:axId val="121934208"/>
        <c:axId val="121936128"/>
      </c:lineChart>
      <c:catAx>
        <c:axId val="121934208"/>
        <c:scaling>
          <c:orientation val="minMax"/>
        </c:scaling>
        <c:axPos val="b"/>
        <c:title>
          <c:tx>
            <c:rich>
              <a:bodyPr/>
              <a:lstStyle/>
              <a:p>
                <a:pPr>
                  <a:defRPr/>
                </a:pPr>
                <a:r>
                  <a:rPr lang="en-US"/>
                  <a:t>Number</a:t>
                </a:r>
                <a:r>
                  <a:rPr lang="en-US" baseline="0"/>
                  <a:t> of Mailboxes</a:t>
                </a:r>
                <a:endParaRPr lang="en-US"/>
              </a:p>
            </c:rich>
          </c:tx>
        </c:title>
        <c:numFmt formatCode="General" sourceLinked="1"/>
        <c:majorTickMark val="none"/>
        <c:tickLblPos val="nextTo"/>
        <c:crossAx val="121936128"/>
        <c:crosses val="autoZero"/>
        <c:auto val="1"/>
        <c:lblAlgn val="ctr"/>
        <c:lblOffset val="100"/>
      </c:catAx>
      <c:valAx>
        <c:axId val="121936128"/>
        <c:scaling>
          <c:orientation val="minMax"/>
        </c:scaling>
        <c:axPos val="l"/>
        <c:majorGridlines/>
        <c:title>
          <c:tx>
            <c:rich>
              <a:bodyPr/>
              <a:lstStyle/>
              <a:p>
                <a:pPr>
                  <a:defRPr/>
                </a:pPr>
                <a:r>
                  <a:rPr lang="en-US"/>
                  <a:t>% Utilization</a:t>
                </a:r>
              </a:p>
            </c:rich>
          </c:tx>
        </c:title>
        <c:numFmt formatCode="General" sourceLinked="1"/>
        <c:tickLblPos val="nextTo"/>
        <c:crossAx val="121934208"/>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a:t>
            </a:r>
            <a:r>
              <a:rPr lang="en-US" baseline="0"/>
              <a:t> Role Server: CPU Utilization</a:t>
            </a:r>
            <a:endParaRPr lang="en-US"/>
          </a:p>
        </c:rich>
      </c:tx>
    </c:title>
    <c:plotArea>
      <c:layout/>
      <c:lineChart>
        <c:grouping val="standard"/>
        <c:ser>
          <c:idx val="0"/>
          <c:order val="0"/>
          <c:tx>
            <c:strRef>
              <c:f>Values!$BA$7</c:f>
              <c:strCache>
                <c:ptCount val="1"/>
                <c:pt idx="0">
                  <c:v>5 engines</c:v>
                </c:pt>
              </c:strCache>
            </c:strRef>
          </c:tx>
          <c:marker>
            <c:symbol val="none"/>
          </c:marker>
          <c:cat>
            <c:numRef>
              <c:f>Values!$AZ$8:$AZ$22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Values!$BA$8:$BA$22</c:f>
              <c:numCache>
                <c:formatCode>General</c:formatCode>
                <c:ptCount val="15"/>
                <c:pt idx="0">
                  <c:v>41.203180301783853</c:v>
                </c:pt>
                <c:pt idx="1">
                  <c:v>81.803920965862943</c:v>
                </c:pt>
                <c:pt idx="2">
                  <c:v>122.40466162994204</c:v>
                </c:pt>
                <c:pt idx="3">
                  <c:v>163.00540229402114</c:v>
                </c:pt>
                <c:pt idx="4">
                  <c:v>203.60614295810024</c:v>
                </c:pt>
                <c:pt idx="5">
                  <c:v>244.20688362217933</c:v>
                </c:pt>
                <c:pt idx="6">
                  <c:v>284.80762428625843</c:v>
                </c:pt>
                <c:pt idx="7">
                  <c:v>325.4083649503375</c:v>
                </c:pt>
                <c:pt idx="8">
                  <c:v>366.00910561441663</c:v>
                </c:pt>
                <c:pt idx="9">
                  <c:v>406.6098462784957</c:v>
                </c:pt>
                <c:pt idx="10">
                  <c:v>447.21058694257482</c:v>
                </c:pt>
                <c:pt idx="11">
                  <c:v>487.81132760665389</c:v>
                </c:pt>
                <c:pt idx="12">
                  <c:v>528.4120682707329</c:v>
                </c:pt>
                <c:pt idx="13">
                  <c:v>569.01280893481203</c:v>
                </c:pt>
                <c:pt idx="14">
                  <c:v>609.61354959889115</c:v>
                </c:pt>
              </c:numCache>
            </c:numRef>
          </c:val>
        </c:ser>
        <c:ser>
          <c:idx val="1"/>
          <c:order val="1"/>
          <c:tx>
            <c:strRef>
              <c:f>Values!$BB$7</c:f>
              <c:strCache>
                <c:ptCount val="1"/>
                <c:pt idx="0">
                  <c:v>3 engines</c:v>
                </c:pt>
              </c:strCache>
            </c:strRef>
          </c:tx>
          <c:marker>
            <c:symbol val="none"/>
          </c:marker>
          <c:cat>
            <c:numRef>
              <c:f>Values!$AZ$8:$AZ$22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Values!$BB$8:$BB$22</c:f>
              <c:numCache>
                <c:formatCode>General</c:formatCode>
                <c:ptCount val="15"/>
                <c:pt idx="0">
                  <c:v>39.530535325870595</c:v>
                </c:pt>
                <c:pt idx="1">
                  <c:v>78.263051110383387</c:v>
                </c:pt>
                <c:pt idx="2">
                  <c:v>116.99556689489617</c:v>
                </c:pt>
                <c:pt idx="3">
                  <c:v>155.72808267940894</c:v>
                </c:pt>
                <c:pt idx="4">
                  <c:v>194.46059846392171</c:v>
                </c:pt>
                <c:pt idx="5">
                  <c:v>233.19311424843451</c:v>
                </c:pt>
                <c:pt idx="6">
                  <c:v>271.92563003294731</c:v>
                </c:pt>
                <c:pt idx="7">
                  <c:v>310.65814581746008</c:v>
                </c:pt>
                <c:pt idx="8">
                  <c:v>349.39066160197285</c:v>
                </c:pt>
                <c:pt idx="9">
                  <c:v>388.12317738648562</c:v>
                </c:pt>
                <c:pt idx="10">
                  <c:v>426.85569317099839</c:v>
                </c:pt>
                <c:pt idx="11">
                  <c:v>465.58820895551122</c:v>
                </c:pt>
                <c:pt idx="12">
                  <c:v>504.32072474002399</c:v>
                </c:pt>
                <c:pt idx="13">
                  <c:v>543.05324052453682</c:v>
                </c:pt>
                <c:pt idx="14">
                  <c:v>581.78575630904959</c:v>
                </c:pt>
              </c:numCache>
            </c:numRef>
          </c:val>
        </c:ser>
        <c:ser>
          <c:idx val="2"/>
          <c:order val="2"/>
          <c:tx>
            <c:strRef>
              <c:f>Values!$BC$7</c:f>
              <c:strCache>
                <c:ptCount val="1"/>
                <c:pt idx="0">
                  <c:v>1 engine</c:v>
                </c:pt>
              </c:strCache>
            </c:strRef>
          </c:tx>
          <c:marker>
            <c:symbol val="none"/>
          </c:marker>
          <c:cat>
            <c:numRef>
              <c:f>Values!$AZ$8:$AZ$22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Values!$BC$8:$BC$22</c:f>
              <c:numCache>
                <c:formatCode>General</c:formatCode>
                <c:ptCount val="15"/>
                <c:pt idx="0">
                  <c:v>37.789565461210053</c:v>
                </c:pt>
                <c:pt idx="1">
                  <c:v>75.035231922420095</c:v>
                </c:pt>
                <c:pt idx="2">
                  <c:v>112.28089838363016</c:v>
                </c:pt>
                <c:pt idx="3">
                  <c:v>149.52656484484021</c:v>
                </c:pt>
                <c:pt idx="4">
                  <c:v>186.77223130605029</c:v>
                </c:pt>
                <c:pt idx="5">
                  <c:v>224.01789776726034</c:v>
                </c:pt>
                <c:pt idx="6">
                  <c:v>261.26356422847039</c:v>
                </c:pt>
                <c:pt idx="7">
                  <c:v>298.50923068968041</c:v>
                </c:pt>
                <c:pt idx="8">
                  <c:v>335.75489715089049</c:v>
                </c:pt>
                <c:pt idx="9">
                  <c:v>373.00056361210056</c:v>
                </c:pt>
                <c:pt idx="10">
                  <c:v>410.24623007331058</c:v>
                </c:pt>
                <c:pt idx="11">
                  <c:v>447.49189653452066</c:v>
                </c:pt>
                <c:pt idx="12">
                  <c:v>484.73756299573068</c:v>
                </c:pt>
                <c:pt idx="13">
                  <c:v>521.98322945694076</c:v>
                </c:pt>
                <c:pt idx="14">
                  <c:v>559.22889591815078</c:v>
                </c:pt>
              </c:numCache>
            </c:numRef>
          </c:val>
        </c:ser>
        <c:ser>
          <c:idx val="3"/>
          <c:order val="3"/>
          <c:tx>
            <c:strRef>
              <c:f>Values!$BD$7</c:f>
              <c:strCache>
                <c:ptCount val="1"/>
                <c:pt idx="0">
                  <c:v>Exchange only</c:v>
                </c:pt>
              </c:strCache>
            </c:strRef>
          </c:tx>
          <c:marker>
            <c:symbol val="none"/>
          </c:marker>
          <c:cat>
            <c:numRef>
              <c:f>Values!$AZ$8:$AZ$22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Values!$BD$8:$BD$22</c:f>
              <c:numCache>
                <c:formatCode>General</c:formatCode>
                <c:ptCount val="15"/>
                <c:pt idx="0">
                  <c:v>32.424164303035525</c:v>
                </c:pt>
                <c:pt idx="1">
                  <c:v>64.26011562535669</c:v>
                </c:pt>
                <c:pt idx="2">
                  <c:v>96.096066947677855</c:v>
                </c:pt>
                <c:pt idx="3">
                  <c:v>127.93201826999902</c:v>
                </c:pt>
                <c:pt idx="4">
                  <c:v>159.76796959232018</c:v>
                </c:pt>
                <c:pt idx="5">
                  <c:v>191.60392091464135</c:v>
                </c:pt>
                <c:pt idx="6">
                  <c:v>223.43987223696251</c:v>
                </c:pt>
                <c:pt idx="7">
                  <c:v>255.27582355928368</c:v>
                </c:pt>
                <c:pt idx="8">
                  <c:v>287.11177488160479</c:v>
                </c:pt>
                <c:pt idx="9">
                  <c:v>318.94772620392598</c:v>
                </c:pt>
                <c:pt idx="10">
                  <c:v>350.78367752624712</c:v>
                </c:pt>
                <c:pt idx="11">
                  <c:v>382.61962884856831</c:v>
                </c:pt>
                <c:pt idx="12">
                  <c:v>414.45558017088945</c:v>
                </c:pt>
                <c:pt idx="13">
                  <c:v>446.29153149321064</c:v>
                </c:pt>
                <c:pt idx="14">
                  <c:v>478.12748281553178</c:v>
                </c:pt>
              </c:numCache>
            </c:numRef>
          </c:val>
        </c:ser>
        <c:hiLowLines/>
        <c:marker val="1"/>
        <c:axId val="123303424"/>
        <c:axId val="123305344"/>
      </c:lineChart>
      <c:catAx>
        <c:axId val="123303424"/>
        <c:scaling>
          <c:orientation val="minMax"/>
        </c:scaling>
        <c:axPos val="b"/>
        <c:minorGridlines/>
        <c:title>
          <c:tx>
            <c:rich>
              <a:bodyPr/>
              <a:lstStyle/>
              <a:p>
                <a:pPr>
                  <a:defRPr/>
                </a:pPr>
                <a:r>
                  <a:rPr lang="en-US"/>
                  <a:t>Number of Mailboxes</a:t>
                </a:r>
              </a:p>
            </c:rich>
          </c:tx>
        </c:title>
        <c:numFmt formatCode="General" sourceLinked="0"/>
        <c:majorTickMark val="none"/>
        <c:tickLblPos val="nextTo"/>
        <c:crossAx val="123305344"/>
        <c:crosses val="autoZero"/>
        <c:auto val="1"/>
        <c:lblAlgn val="ctr"/>
        <c:lblOffset val="100"/>
      </c:catAx>
      <c:valAx>
        <c:axId val="123305344"/>
        <c:scaling>
          <c:orientation val="minMax"/>
        </c:scaling>
        <c:axPos val="l"/>
        <c:majorGridlines/>
        <c:title>
          <c:tx>
            <c:rich>
              <a:bodyPr/>
              <a:lstStyle/>
              <a:p>
                <a:pPr>
                  <a:defRPr/>
                </a:pPr>
                <a:r>
                  <a:rPr lang="en-US"/>
                  <a:t>% Utilization</a:t>
                </a:r>
              </a:p>
            </c:rich>
          </c:tx>
        </c:title>
        <c:numFmt formatCode="General" sourceLinked="1"/>
        <c:tickLblPos val="nextTo"/>
        <c:crossAx val="123303424"/>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 Role Server: Memory</a:t>
            </a:r>
            <a:r>
              <a:rPr lang="en-US" baseline="0"/>
              <a:t> Utilization</a:t>
            </a:r>
            <a:endParaRPr lang="en-US"/>
          </a:p>
        </c:rich>
      </c:tx>
    </c:title>
    <c:plotArea>
      <c:layout/>
      <c:lineChart>
        <c:grouping val="standard"/>
        <c:ser>
          <c:idx val="0"/>
          <c:order val="0"/>
          <c:tx>
            <c:strRef>
              <c:f>Values!$BF$7</c:f>
              <c:strCache>
                <c:ptCount val="1"/>
                <c:pt idx="0">
                  <c:v>5 engines</c:v>
                </c:pt>
              </c:strCache>
            </c:strRef>
          </c:tx>
          <c:marker>
            <c:symbol val="none"/>
          </c:marker>
          <c:cat>
            <c:numRef>
              <c:f>Values!$BE$8:$BE$22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Values!$BF$8:$BF$22</c:f>
              <c:numCache>
                <c:formatCode>General</c:formatCode>
                <c:ptCount val="15"/>
                <c:pt idx="0">
                  <c:v>87.330427042643237</c:v>
                </c:pt>
                <c:pt idx="1">
                  <c:v>128.46196085611979</c:v>
                </c:pt>
                <c:pt idx="2">
                  <c:v>169.59349466959634</c:v>
                </c:pt>
                <c:pt idx="3">
                  <c:v>210.72502848307292</c:v>
                </c:pt>
                <c:pt idx="4">
                  <c:v>251.85656229654947</c:v>
                </c:pt>
                <c:pt idx="5">
                  <c:v>292.98809611002605</c:v>
                </c:pt>
                <c:pt idx="6">
                  <c:v>334.1196299235026</c:v>
                </c:pt>
                <c:pt idx="7">
                  <c:v>375.25116373697921</c:v>
                </c:pt>
                <c:pt idx="8">
                  <c:v>416.38269755045576</c:v>
                </c:pt>
                <c:pt idx="9">
                  <c:v>457.51423136393231</c:v>
                </c:pt>
                <c:pt idx="10">
                  <c:v>498.64576517740886</c:v>
                </c:pt>
                <c:pt idx="11">
                  <c:v>539.77729899088536</c:v>
                </c:pt>
                <c:pt idx="12">
                  <c:v>580.90883280436196</c:v>
                </c:pt>
                <c:pt idx="13">
                  <c:v>622.04036661783846</c:v>
                </c:pt>
                <c:pt idx="14">
                  <c:v>663.17190043131507</c:v>
                </c:pt>
              </c:numCache>
            </c:numRef>
          </c:val>
        </c:ser>
        <c:ser>
          <c:idx val="1"/>
          <c:order val="1"/>
          <c:tx>
            <c:strRef>
              <c:f>Values!$BG$7</c:f>
              <c:strCache>
                <c:ptCount val="1"/>
                <c:pt idx="0">
                  <c:v>3 engines</c:v>
                </c:pt>
              </c:strCache>
            </c:strRef>
          </c:tx>
          <c:marker>
            <c:symbol val="none"/>
          </c:marker>
          <c:cat>
            <c:numRef>
              <c:f>Values!$BE$8:$BE$22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Values!$BG$8:$BG$22</c:f>
              <c:numCache>
                <c:formatCode>General</c:formatCode>
                <c:ptCount val="15"/>
                <c:pt idx="0">
                  <c:v>72.97469889322916</c:v>
                </c:pt>
                <c:pt idx="1">
                  <c:v>114.05519205729166</c:v>
                </c:pt>
                <c:pt idx="2">
                  <c:v>155.13568522135415</c:v>
                </c:pt>
                <c:pt idx="3">
                  <c:v>196.21617838541664</c:v>
                </c:pt>
                <c:pt idx="4">
                  <c:v>237.29667154947913</c:v>
                </c:pt>
                <c:pt idx="5">
                  <c:v>278.37716471354162</c:v>
                </c:pt>
                <c:pt idx="6">
                  <c:v>319.45765787760416</c:v>
                </c:pt>
                <c:pt idx="7">
                  <c:v>360.53815104166665</c:v>
                </c:pt>
                <c:pt idx="8">
                  <c:v>401.61864420572914</c:v>
                </c:pt>
                <c:pt idx="9">
                  <c:v>442.69913736979163</c:v>
                </c:pt>
                <c:pt idx="10">
                  <c:v>483.77963053385412</c:v>
                </c:pt>
                <c:pt idx="11">
                  <c:v>524.86012369791661</c:v>
                </c:pt>
                <c:pt idx="12">
                  <c:v>565.94061686197904</c:v>
                </c:pt>
                <c:pt idx="13">
                  <c:v>607.02111002604158</c:v>
                </c:pt>
                <c:pt idx="14">
                  <c:v>648.10160319010402</c:v>
                </c:pt>
              </c:numCache>
            </c:numRef>
          </c:val>
        </c:ser>
        <c:ser>
          <c:idx val="2"/>
          <c:order val="2"/>
          <c:tx>
            <c:strRef>
              <c:f>Values!$BH$7</c:f>
              <c:strCache>
                <c:ptCount val="1"/>
                <c:pt idx="0">
                  <c:v>1 engine</c:v>
                </c:pt>
              </c:strCache>
            </c:strRef>
          </c:tx>
          <c:marker>
            <c:symbol val="none"/>
          </c:marker>
          <c:cat>
            <c:numRef>
              <c:f>Values!$BE$8:$BE$22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Values!$BH$8:$BH$22</c:f>
              <c:numCache>
                <c:formatCode>General</c:formatCode>
                <c:ptCount val="15"/>
                <c:pt idx="0">
                  <c:v>68.500861002604168</c:v>
                </c:pt>
                <c:pt idx="1">
                  <c:v>109.56782877604168</c:v>
                </c:pt>
                <c:pt idx="2">
                  <c:v>150.63479654947918</c:v>
                </c:pt>
                <c:pt idx="3">
                  <c:v>191.70176432291669</c:v>
                </c:pt>
                <c:pt idx="4">
                  <c:v>232.7687320963542</c:v>
                </c:pt>
                <c:pt idx="5">
                  <c:v>273.83569986979171</c:v>
                </c:pt>
                <c:pt idx="6">
                  <c:v>314.90266764322917</c:v>
                </c:pt>
                <c:pt idx="7">
                  <c:v>355.96963541666668</c:v>
                </c:pt>
                <c:pt idx="8">
                  <c:v>397.03660319010419</c:v>
                </c:pt>
                <c:pt idx="9">
                  <c:v>438.1035709635417</c:v>
                </c:pt>
                <c:pt idx="10">
                  <c:v>479.17053873697921</c:v>
                </c:pt>
                <c:pt idx="11">
                  <c:v>520.23750651041678</c:v>
                </c:pt>
                <c:pt idx="12">
                  <c:v>561.30447428385423</c:v>
                </c:pt>
                <c:pt idx="13">
                  <c:v>602.37144205729169</c:v>
                </c:pt>
                <c:pt idx="14">
                  <c:v>643.43840983072926</c:v>
                </c:pt>
              </c:numCache>
            </c:numRef>
          </c:val>
        </c:ser>
        <c:ser>
          <c:idx val="3"/>
          <c:order val="3"/>
          <c:tx>
            <c:strRef>
              <c:f>Values!$BI$7</c:f>
              <c:strCache>
                <c:ptCount val="1"/>
                <c:pt idx="0">
                  <c:v>Exchange only</c:v>
                </c:pt>
              </c:strCache>
            </c:strRef>
          </c:tx>
          <c:marker>
            <c:symbol val="none"/>
          </c:marker>
          <c:cat>
            <c:numRef>
              <c:f>Values!$BE$8:$BE$22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Values!$BI$8:$BI$22</c:f>
              <c:numCache>
                <c:formatCode>General</c:formatCode>
                <c:ptCount val="15"/>
                <c:pt idx="0">
                  <c:v>61.612955729166671</c:v>
                </c:pt>
                <c:pt idx="1">
                  <c:v>102.62858072916667</c:v>
                </c:pt>
                <c:pt idx="2">
                  <c:v>143.64420572916666</c:v>
                </c:pt>
                <c:pt idx="3">
                  <c:v>184.65983072916666</c:v>
                </c:pt>
                <c:pt idx="4">
                  <c:v>225.67545572916666</c:v>
                </c:pt>
                <c:pt idx="5">
                  <c:v>266.69108072916669</c:v>
                </c:pt>
                <c:pt idx="6">
                  <c:v>307.70670572916669</c:v>
                </c:pt>
                <c:pt idx="7">
                  <c:v>348.72233072916669</c:v>
                </c:pt>
                <c:pt idx="8">
                  <c:v>389.73795572916669</c:v>
                </c:pt>
                <c:pt idx="9">
                  <c:v>430.75358072916669</c:v>
                </c:pt>
                <c:pt idx="10">
                  <c:v>471.76920572916669</c:v>
                </c:pt>
                <c:pt idx="11">
                  <c:v>512.78483072916663</c:v>
                </c:pt>
                <c:pt idx="12">
                  <c:v>553.80045572916663</c:v>
                </c:pt>
                <c:pt idx="13">
                  <c:v>594.81608072916663</c:v>
                </c:pt>
                <c:pt idx="14">
                  <c:v>635.83170572916663</c:v>
                </c:pt>
              </c:numCache>
            </c:numRef>
          </c:val>
        </c:ser>
        <c:hiLowLines/>
        <c:marker val="1"/>
        <c:axId val="123377920"/>
        <c:axId val="123388288"/>
      </c:lineChart>
      <c:catAx>
        <c:axId val="123377920"/>
        <c:scaling>
          <c:orientation val="minMax"/>
        </c:scaling>
        <c:axPos val="b"/>
        <c:title>
          <c:tx>
            <c:rich>
              <a:bodyPr/>
              <a:lstStyle/>
              <a:p>
                <a:pPr>
                  <a:defRPr/>
                </a:pPr>
                <a:r>
                  <a:rPr lang="en-US"/>
                  <a:t>Number of Mailboxes</a:t>
                </a:r>
              </a:p>
            </c:rich>
          </c:tx>
        </c:title>
        <c:numFmt formatCode="General" sourceLinked="1"/>
        <c:majorTickMark val="none"/>
        <c:tickLblPos val="nextTo"/>
        <c:crossAx val="123388288"/>
        <c:crosses val="autoZero"/>
        <c:auto val="1"/>
        <c:lblAlgn val="ctr"/>
        <c:lblOffset val="100"/>
      </c:catAx>
      <c:valAx>
        <c:axId val="123388288"/>
        <c:scaling>
          <c:orientation val="minMax"/>
        </c:scaling>
        <c:axPos val="l"/>
        <c:majorGridlines/>
        <c:title>
          <c:tx>
            <c:rich>
              <a:bodyPr/>
              <a:lstStyle/>
              <a:p>
                <a:pPr>
                  <a:defRPr/>
                </a:pPr>
                <a:r>
                  <a:rPr lang="en-US"/>
                  <a:t>% Utilization</a:t>
                </a:r>
              </a:p>
            </c:rich>
          </c:tx>
        </c:title>
        <c:numFmt formatCode="General" sourceLinked="1"/>
        <c:tickLblPos val="nextTo"/>
        <c:crossAx val="123377920"/>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Hub Server: CPU Utilization</a:t>
            </a:r>
          </a:p>
        </c:rich>
      </c:tx>
    </c:title>
    <c:plotArea>
      <c:layout/>
      <c:lineChart>
        <c:grouping val="standard"/>
        <c:ser>
          <c:idx val="0"/>
          <c:order val="0"/>
          <c:tx>
            <c:strRef>
              <c:f>Values!$BK$7</c:f>
              <c:strCache>
                <c:ptCount val="1"/>
                <c:pt idx="0">
                  <c:v>5 engines</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Values!$BK$8:$BK$22</c:f>
              <c:numCache>
                <c:formatCode>General</c:formatCode>
                <c:ptCount val="15"/>
                <c:pt idx="0">
                  <c:v>8.3018000000000001</c:v>
                </c:pt>
                <c:pt idx="1">
                  <c:v>16.035</c:v>
                </c:pt>
                <c:pt idx="2">
                  <c:v>23.768199999999997</c:v>
                </c:pt>
                <c:pt idx="3">
                  <c:v>31.5014</c:v>
                </c:pt>
                <c:pt idx="4">
                  <c:v>39.2346</c:v>
                </c:pt>
                <c:pt idx="5">
                  <c:v>46.967799999999997</c:v>
                </c:pt>
                <c:pt idx="6">
                  <c:v>54.701000000000001</c:v>
                </c:pt>
                <c:pt idx="7">
                  <c:v>62.434199999999997</c:v>
                </c:pt>
                <c:pt idx="8">
                  <c:v>70.167399999999986</c:v>
                </c:pt>
                <c:pt idx="9">
                  <c:v>77.900599999999997</c:v>
                </c:pt>
                <c:pt idx="10">
                  <c:v>85.633799999999994</c:v>
                </c:pt>
                <c:pt idx="11">
                  <c:v>93.36699999999999</c:v>
                </c:pt>
                <c:pt idx="12">
                  <c:v>101.1002</c:v>
                </c:pt>
                <c:pt idx="13">
                  <c:v>108.83340000000001</c:v>
                </c:pt>
                <c:pt idx="14">
                  <c:v>116.56660000000001</c:v>
                </c:pt>
              </c:numCache>
            </c:numRef>
          </c:val>
        </c:ser>
        <c:ser>
          <c:idx val="1"/>
          <c:order val="1"/>
          <c:tx>
            <c:strRef>
              <c:f>Values!$BL$7</c:f>
              <c:strCache>
                <c:ptCount val="1"/>
                <c:pt idx="0">
                  <c:v>3 engines</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Values!$BL$8:$BL$22</c:f>
              <c:numCache>
                <c:formatCode>General</c:formatCode>
                <c:ptCount val="15"/>
                <c:pt idx="0">
                  <c:v>7.0529999999999999</c:v>
                </c:pt>
                <c:pt idx="1">
                  <c:v>13.5374</c:v>
                </c:pt>
                <c:pt idx="2">
                  <c:v>20.021799999999999</c:v>
                </c:pt>
                <c:pt idx="3">
                  <c:v>26.506200000000003</c:v>
                </c:pt>
                <c:pt idx="4">
                  <c:v>32.990600000000001</c:v>
                </c:pt>
                <c:pt idx="5">
                  <c:v>39.475000000000001</c:v>
                </c:pt>
                <c:pt idx="6">
                  <c:v>45.959400000000002</c:v>
                </c:pt>
                <c:pt idx="7">
                  <c:v>52.443799999999996</c:v>
                </c:pt>
                <c:pt idx="8">
                  <c:v>58.928199999999997</c:v>
                </c:pt>
                <c:pt idx="9">
                  <c:v>65.412599999999998</c:v>
                </c:pt>
                <c:pt idx="10">
                  <c:v>71.897000000000006</c:v>
                </c:pt>
                <c:pt idx="11">
                  <c:v>78.381399999999999</c:v>
                </c:pt>
                <c:pt idx="12">
                  <c:v>84.865800000000007</c:v>
                </c:pt>
                <c:pt idx="13">
                  <c:v>91.350200000000001</c:v>
                </c:pt>
                <c:pt idx="14">
                  <c:v>97.834600000000009</c:v>
                </c:pt>
              </c:numCache>
            </c:numRef>
          </c:val>
        </c:ser>
        <c:ser>
          <c:idx val="2"/>
          <c:order val="2"/>
          <c:tx>
            <c:strRef>
              <c:f>Values!$BM$7</c:f>
              <c:strCache>
                <c:ptCount val="1"/>
                <c:pt idx="0">
                  <c:v>1 engine</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Values!$BM$8:$BM$22</c:f>
              <c:numCache>
                <c:formatCode>General</c:formatCode>
                <c:ptCount val="15"/>
                <c:pt idx="0">
                  <c:v>6.1115500000000003</c:v>
                </c:pt>
                <c:pt idx="1">
                  <c:v>11.668000000000001</c:v>
                </c:pt>
                <c:pt idx="2">
                  <c:v>17.224450000000001</c:v>
                </c:pt>
                <c:pt idx="3">
                  <c:v>22.780900000000003</c:v>
                </c:pt>
                <c:pt idx="4">
                  <c:v>28.337349999999994</c:v>
                </c:pt>
                <c:pt idx="5">
                  <c:v>33.893799999999999</c:v>
                </c:pt>
                <c:pt idx="6">
                  <c:v>39.450249999999997</c:v>
                </c:pt>
                <c:pt idx="7">
                  <c:v>45.006700000000002</c:v>
                </c:pt>
                <c:pt idx="8">
                  <c:v>50.56315</c:v>
                </c:pt>
                <c:pt idx="9">
                  <c:v>56.119599999999991</c:v>
                </c:pt>
                <c:pt idx="10">
                  <c:v>61.676049999999996</c:v>
                </c:pt>
                <c:pt idx="11">
                  <c:v>67.232500000000002</c:v>
                </c:pt>
                <c:pt idx="12">
                  <c:v>72.78895</c:v>
                </c:pt>
                <c:pt idx="13">
                  <c:v>78.345399999999998</c:v>
                </c:pt>
                <c:pt idx="14">
                  <c:v>83.901849999999996</c:v>
                </c:pt>
              </c:numCache>
            </c:numRef>
          </c:val>
        </c:ser>
        <c:ser>
          <c:idx val="3"/>
          <c:order val="3"/>
          <c:tx>
            <c:strRef>
              <c:f>Values!$BN$7</c:f>
              <c:strCache>
                <c:ptCount val="1"/>
                <c:pt idx="0">
                  <c:v>Exchange only</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Values!$BN$8:$BN$22</c:f>
              <c:numCache>
                <c:formatCode>General</c:formatCode>
                <c:ptCount val="15"/>
                <c:pt idx="0">
                  <c:v>3.6561999999999997</c:v>
                </c:pt>
                <c:pt idx="1">
                  <c:v>6.8989999999999991</c:v>
                </c:pt>
                <c:pt idx="2">
                  <c:v>10.1418</c:v>
                </c:pt>
                <c:pt idx="3">
                  <c:v>13.384599999999999</c:v>
                </c:pt>
                <c:pt idx="4">
                  <c:v>16.627400000000002</c:v>
                </c:pt>
                <c:pt idx="5">
                  <c:v>19.870200000000001</c:v>
                </c:pt>
                <c:pt idx="6">
                  <c:v>23.113</c:v>
                </c:pt>
                <c:pt idx="7">
                  <c:v>26.355800000000002</c:v>
                </c:pt>
                <c:pt idx="8">
                  <c:v>29.598600000000001</c:v>
                </c:pt>
                <c:pt idx="9">
                  <c:v>32.841400000000007</c:v>
                </c:pt>
                <c:pt idx="10">
                  <c:v>36.084200000000003</c:v>
                </c:pt>
                <c:pt idx="11">
                  <c:v>39.327000000000005</c:v>
                </c:pt>
                <c:pt idx="12">
                  <c:v>42.569800000000008</c:v>
                </c:pt>
                <c:pt idx="13">
                  <c:v>45.812600000000003</c:v>
                </c:pt>
                <c:pt idx="14">
                  <c:v>49.055400000000006</c:v>
                </c:pt>
              </c:numCache>
            </c:numRef>
          </c:val>
        </c:ser>
        <c:hiLowLines/>
        <c:marker val="1"/>
        <c:axId val="62475264"/>
        <c:axId val="62493824"/>
      </c:lineChart>
      <c:catAx>
        <c:axId val="62475264"/>
        <c:scaling>
          <c:orientation val="minMax"/>
        </c:scaling>
        <c:axPos val="b"/>
        <c:title>
          <c:tx>
            <c:rich>
              <a:bodyPr/>
              <a:lstStyle/>
              <a:p>
                <a:pPr>
                  <a:defRPr/>
                </a:pPr>
                <a:r>
                  <a:rPr lang="en-US"/>
                  <a:t>Number of Mailboxes</a:t>
                </a:r>
              </a:p>
            </c:rich>
          </c:tx>
        </c:title>
        <c:numFmt formatCode="General" sourceLinked="1"/>
        <c:majorTickMark val="none"/>
        <c:tickLblPos val="nextTo"/>
        <c:crossAx val="62493824"/>
        <c:crosses val="autoZero"/>
        <c:auto val="1"/>
        <c:lblAlgn val="ctr"/>
        <c:lblOffset val="100"/>
      </c:catAx>
      <c:valAx>
        <c:axId val="62493824"/>
        <c:scaling>
          <c:orientation val="minMax"/>
        </c:scaling>
        <c:axPos val="l"/>
        <c:majorGridlines/>
        <c:title>
          <c:tx>
            <c:rich>
              <a:bodyPr/>
              <a:lstStyle/>
              <a:p>
                <a:pPr>
                  <a:defRPr/>
                </a:pPr>
                <a:r>
                  <a:rPr lang="en-US"/>
                  <a:t>% Utilization</a:t>
                </a:r>
              </a:p>
            </c:rich>
          </c:tx>
        </c:title>
        <c:numFmt formatCode="General" sourceLinked="1"/>
        <c:tickLblPos val="nextTo"/>
        <c:crossAx val="62475264"/>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Hub Server: Memory Utilization</a:t>
            </a:r>
          </a:p>
        </c:rich>
      </c:tx>
    </c:title>
    <c:plotArea>
      <c:layout/>
      <c:lineChart>
        <c:grouping val="standard"/>
        <c:ser>
          <c:idx val="0"/>
          <c:order val="0"/>
          <c:tx>
            <c:strRef>
              <c:f>Values!$BP$7</c:f>
              <c:strCache>
                <c:ptCount val="1"/>
                <c:pt idx="0">
                  <c:v>5 engines</c:v>
                </c:pt>
              </c:strCache>
            </c:strRef>
          </c:tx>
          <c:marker>
            <c:symbol val="none"/>
          </c:marker>
          <c:cat>
            <c:numRef>
              <c:f>Values!$BO$8:$BO$22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Values!$BP$8:$BP$22</c:f>
              <c:numCache>
                <c:formatCode>General</c:formatCode>
                <c:ptCount val="15"/>
                <c:pt idx="0">
                  <c:v>55.365096435546882</c:v>
                </c:pt>
                <c:pt idx="1">
                  <c:v>58.126220703125</c:v>
                </c:pt>
                <c:pt idx="2">
                  <c:v>60.887344970703118</c:v>
                </c:pt>
                <c:pt idx="3">
                  <c:v>63.648469238281244</c:v>
                </c:pt>
                <c:pt idx="4">
                  <c:v>66.409593505859377</c:v>
                </c:pt>
                <c:pt idx="5">
                  <c:v>69.170717773437502</c:v>
                </c:pt>
                <c:pt idx="6">
                  <c:v>71.931842041015614</c:v>
                </c:pt>
                <c:pt idx="7">
                  <c:v>74.692966308593739</c:v>
                </c:pt>
                <c:pt idx="8">
                  <c:v>77.454090576171879</c:v>
                </c:pt>
                <c:pt idx="9">
                  <c:v>80.21521484374999</c:v>
                </c:pt>
                <c:pt idx="10">
                  <c:v>82.976339111328116</c:v>
                </c:pt>
                <c:pt idx="11">
                  <c:v>85.737463378906241</c:v>
                </c:pt>
                <c:pt idx="12">
                  <c:v>88.498587646484367</c:v>
                </c:pt>
                <c:pt idx="13">
                  <c:v>91.259711914062493</c:v>
                </c:pt>
                <c:pt idx="14">
                  <c:v>94.020836181640604</c:v>
                </c:pt>
              </c:numCache>
            </c:numRef>
          </c:val>
        </c:ser>
        <c:ser>
          <c:idx val="1"/>
          <c:order val="1"/>
          <c:tx>
            <c:strRef>
              <c:f>Values!$BQ$7</c:f>
              <c:strCache>
                <c:ptCount val="1"/>
                <c:pt idx="0">
                  <c:v>3 engines</c:v>
                </c:pt>
              </c:strCache>
            </c:strRef>
          </c:tx>
          <c:marker>
            <c:symbol val="none"/>
          </c:marker>
          <c:cat>
            <c:numRef>
              <c:f>Values!$BO$8:$BO$22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Values!$BQ$8:$BQ$22</c:f>
              <c:numCache>
                <c:formatCode>General</c:formatCode>
                <c:ptCount val="15"/>
                <c:pt idx="0">
                  <c:v>43.557998046874999</c:v>
                </c:pt>
                <c:pt idx="1">
                  <c:v>45.36181640625</c:v>
                </c:pt>
                <c:pt idx="2">
                  <c:v>47.165634765625001</c:v>
                </c:pt>
                <c:pt idx="3">
                  <c:v>48.969453125000008</c:v>
                </c:pt>
                <c:pt idx="4">
                  <c:v>50.773271484375002</c:v>
                </c:pt>
                <c:pt idx="5">
                  <c:v>52.577089843750016</c:v>
                </c:pt>
                <c:pt idx="6">
                  <c:v>54.380908203125024</c:v>
                </c:pt>
                <c:pt idx="7">
                  <c:v>56.184726562500018</c:v>
                </c:pt>
                <c:pt idx="8">
                  <c:v>57.988544921875018</c:v>
                </c:pt>
                <c:pt idx="9">
                  <c:v>59.792363281250026</c:v>
                </c:pt>
                <c:pt idx="10">
                  <c:v>61.596181640625034</c:v>
                </c:pt>
                <c:pt idx="11">
                  <c:v>63.400000000000034</c:v>
                </c:pt>
                <c:pt idx="12">
                  <c:v>65.203818359375035</c:v>
                </c:pt>
                <c:pt idx="13">
                  <c:v>67.007636718750035</c:v>
                </c:pt>
                <c:pt idx="14">
                  <c:v>68.81145507812505</c:v>
                </c:pt>
              </c:numCache>
            </c:numRef>
          </c:val>
        </c:ser>
        <c:ser>
          <c:idx val="2"/>
          <c:order val="2"/>
          <c:tx>
            <c:strRef>
              <c:f>Values!$BR$7</c:f>
              <c:strCache>
                <c:ptCount val="1"/>
                <c:pt idx="0">
                  <c:v>1 engine</c:v>
                </c:pt>
              </c:strCache>
            </c:strRef>
          </c:tx>
          <c:marker>
            <c:symbol val="none"/>
          </c:marker>
          <c:cat>
            <c:numRef>
              <c:f>Values!$BO$8:$BO$22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Values!$BR$8:$BR$22</c:f>
              <c:numCache>
                <c:formatCode>General</c:formatCode>
                <c:ptCount val="15"/>
                <c:pt idx="0">
                  <c:v>39.774558105468749</c:v>
                </c:pt>
                <c:pt idx="1">
                  <c:v>41.56494140625</c:v>
                </c:pt>
                <c:pt idx="2">
                  <c:v>43.355324707031251</c:v>
                </c:pt>
                <c:pt idx="3">
                  <c:v>45.145708007812502</c:v>
                </c:pt>
                <c:pt idx="4">
                  <c:v>46.936091308593753</c:v>
                </c:pt>
                <c:pt idx="5">
                  <c:v>48.726474609375003</c:v>
                </c:pt>
                <c:pt idx="6">
                  <c:v>50.516857910156254</c:v>
                </c:pt>
                <c:pt idx="7">
                  <c:v>52.307241210937505</c:v>
                </c:pt>
                <c:pt idx="8">
                  <c:v>54.097624511718756</c:v>
                </c:pt>
                <c:pt idx="9">
                  <c:v>55.888007812500007</c:v>
                </c:pt>
                <c:pt idx="10">
                  <c:v>57.678391113281258</c:v>
                </c:pt>
                <c:pt idx="11">
                  <c:v>59.468774414062509</c:v>
                </c:pt>
                <c:pt idx="12">
                  <c:v>61.259157714843759</c:v>
                </c:pt>
                <c:pt idx="13">
                  <c:v>63.04954101562501</c:v>
                </c:pt>
                <c:pt idx="14">
                  <c:v>64.839924316406268</c:v>
                </c:pt>
              </c:numCache>
            </c:numRef>
          </c:val>
        </c:ser>
        <c:ser>
          <c:idx val="3"/>
          <c:order val="3"/>
          <c:tx>
            <c:strRef>
              <c:f>Values!$BS$7</c:f>
              <c:strCache>
                <c:ptCount val="1"/>
                <c:pt idx="0">
                  <c:v>Exchange only</c:v>
                </c:pt>
              </c:strCache>
            </c:strRef>
          </c:tx>
          <c:marker>
            <c:symbol val="none"/>
          </c:marker>
          <c:cat>
            <c:numRef>
              <c:f>Values!$BO$8:$BO$22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Values!$BS$8:$BS$22</c:f>
              <c:numCache>
                <c:formatCode>General</c:formatCode>
                <c:ptCount val="15"/>
                <c:pt idx="0">
                  <c:v>33.8514404296875</c:v>
                </c:pt>
                <c:pt idx="1">
                  <c:v>35.602050781250007</c:v>
                </c:pt>
                <c:pt idx="2">
                  <c:v>37.352661132812507</c:v>
                </c:pt>
                <c:pt idx="3">
                  <c:v>39.103271484375014</c:v>
                </c:pt>
                <c:pt idx="4">
                  <c:v>40.853881835937514</c:v>
                </c:pt>
                <c:pt idx="5">
                  <c:v>42.604492187500021</c:v>
                </c:pt>
                <c:pt idx="6">
                  <c:v>44.355102539062521</c:v>
                </c:pt>
                <c:pt idx="7">
                  <c:v>46.105712890625028</c:v>
                </c:pt>
                <c:pt idx="8">
                  <c:v>47.856323242187528</c:v>
                </c:pt>
                <c:pt idx="9">
                  <c:v>49.606933593750036</c:v>
                </c:pt>
                <c:pt idx="10">
                  <c:v>51.357543945312536</c:v>
                </c:pt>
                <c:pt idx="11">
                  <c:v>53.108154296875043</c:v>
                </c:pt>
                <c:pt idx="12">
                  <c:v>54.85876464843755</c:v>
                </c:pt>
                <c:pt idx="13">
                  <c:v>56.60937500000005</c:v>
                </c:pt>
                <c:pt idx="14">
                  <c:v>58.35998535156255</c:v>
                </c:pt>
              </c:numCache>
            </c:numRef>
          </c:val>
        </c:ser>
        <c:hiLowLines/>
        <c:marker val="1"/>
        <c:axId val="62791680"/>
        <c:axId val="62793600"/>
      </c:lineChart>
      <c:catAx>
        <c:axId val="62791680"/>
        <c:scaling>
          <c:orientation val="minMax"/>
        </c:scaling>
        <c:axPos val="b"/>
        <c:title>
          <c:tx>
            <c:rich>
              <a:bodyPr/>
              <a:lstStyle/>
              <a:p>
                <a:pPr>
                  <a:defRPr/>
                </a:pPr>
                <a:r>
                  <a:rPr lang="en-US"/>
                  <a:t>Number of Mailboxes</a:t>
                </a:r>
              </a:p>
            </c:rich>
          </c:tx>
        </c:title>
        <c:numFmt formatCode="General" sourceLinked="1"/>
        <c:majorTickMark val="none"/>
        <c:tickLblPos val="nextTo"/>
        <c:crossAx val="62793600"/>
        <c:crosses val="autoZero"/>
        <c:auto val="1"/>
        <c:lblAlgn val="ctr"/>
        <c:lblOffset val="100"/>
      </c:catAx>
      <c:valAx>
        <c:axId val="62793600"/>
        <c:scaling>
          <c:orientation val="minMax"/>
        </c:scaling>
        <c:axPos val="l"/>
        <c:majorGridlines/>
        <c:title>
          <c:tx>
            <c:rich>
              <a:bodyPr/>
              <a:lstStyle/>
              <a:p>
                <a:pPr>
                  <a:defRPr/>
                </a:pPr>
                <a:r>
                  <a:rPr lang="en-US"/>
                  <a:t>% Utilization</a:t>
                </a:r>
              </a:p>
            </c:rich>
          </c:tx>
        </c:title>
        <c:numFmt formatCode="General" sourceLinked="1"/>
        <c:tickLblPos val="nextTo"/>
        <c:crossAx val="62791680"/>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Mailbox Server: CPU Utilization</a:t>
            </a:r>
          </a:p>
        </c:rich>
      </c:tx>
    </c:title>
    <c:plotArea>
      <c:layout/>
      <c:lineChart>
        <c:grouping val="standard"/>
        <c:ser>
          <c:idx val="0"/>
          <c:order val="0"/>
          <c:tx>
            <c:strRef>
              <c:f>Values!$BU$7</c:f>
              <c:strCache>
                <c:ptCount val="1"/>
                <c:pt idx="0">
                  <c:v>5 engines</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Values!$BU$8:$BU$12</c:f>
              <c:numCache>
                <c:formatCode>General</c:formatCode>
                <c:ptCount val="5"/>
                <c:pt idx="0">
                  <c:v>43.734000000000009</c:v>
                </c:pt>
                <c:pt idx="1">
                  <c:v>67.470520000000008</c:v>
                </c:pt>
                <c:pt idx="2">
                  <c:v>91.207040000000021</c:v>
                </c:pt>
                <c:pt idx="3">
                  <c:v>114.94356000000003</c:v>
                </c:pt>
                <c:pt idx="4">
                  <c:v>138.68008000000006</c:v>
                </c:pt>
              </c:numCache>
            </c:numRef>
          </c:val>
        </c:ser>
        <c:ser>
          <c:idx val="1"/>
          <c:order val="1"/>
          <c:tx>
            <c:strRef>
              <c:f>Values!$BV$7</c:f>
              <c:strCache>
                <c:ptCount val="1"/>
                <c:pt idx="0">
                  <c:v>3 engines</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Values!$BV$8:$BV$12</c:f>
              <c:numCache>
                <c:formatCode>General</c:formatCode>
                <c:ptCount val="5"/>
                <c:pt idx="0">
                  <c:v>42.886400000000002</c:v>
                </c:pt>
                <c:pt idx="1">
                  <c:v>65.998520000000013</c:v>
                </c:pt>
                <c:pt idx="2">
                  <c:v>89.110640000000018</c:v>
                </c:pt>
                <c:pt idx="3">
                  <c:v>112.22276000000002</c:v>
                </c:pt>
                <c:pt idx="4">
                  <c:v>135.33488000000006</c:v>
                </c:pt>
              </c:numCache>
            </c:numRef>
          </c:val>
        </c:ser>
        <c:ser>
          <c:idx val="2"/>
          <c:order val="2"/>
          <c:tx>
            <c:strRef>
              <c:f>Values!$BW$7</c:f>
              <c:strCache>
                <c:ptCount val="1"/>
                <c:pt idx="0">
                  <c:v>1 engine</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Values!$BW$8:$BW$12</c:f>
              <c:numCache>
                <c:formatCode>General</c:formatCode>
                <c:ptCount val="5"/>
                <c:pt idx="0">
                  <c:v>42.501025000000006</c:v>
                </c:pt>
                <c:pt idx="1">
                  <c:v>65.149170000000012</c:v>
                </c:pt>
                <c:pt idx="2">
                  <c:v>87.797315000000012</c:v>
                </c:pt>
                <c:pt idx="3">
                  <c:v>110.44546000000001</c:v>
                </c:pt>
                <c:pt idx="4">
                  <c:v>133.09360500000003</c:v>
                </c:pt>
              </c:numCache>
            </c:numRef>
          </c:val>
        </c:ser>
        <c:ser>
          <c:idx val="3"/>
          <c:order val="3"/>
          <c:tx>
            <c:strRef>
              <c:f>Values!$BX$7</c:f>
              <c:strCache>
                <c:ptCount val="1"/>
                <c:pt idx="0">
                  <c:v>Exchange only</c:v>
                </c:pt>
              </c:strCache>
            </c:strRef>
          </c:tx>
          <c:marker>
            <c:symbol val="none"/>
          </c:marker>
          <c:cat>
            <c:numRef>
              <c:f>Values!$BT$8:$BT$12</c:f>
              <c:numCache>
                <c:formatCode>General</c:formatCode>
                <c:ptCount val="5"/>
                <c:pt idx="0">
                  <c:v>2000</c:v>
                </c:pt>
                <c:pt idx="1">
                  <c:v>4000</c:v>
                </c:pt>
                <c:pt idx="2">
                  <c:v>6000</c:v>
                </c:pt>
                <c:pt idx="3">
                  <c:v>8000</c:v>
                </c:pt>
                <c:pt idx="4">
                  <c:v>10000</c:v>
                </c:pt>
              </c:numCache>
            </c:numRef>
          </c:cat>
          <c:val>
            <c:numRef>
              <c:f>Values!$BX$8:$BX$12</c:f>
              <c:numCache>
                <c:formatCode>General</c:formatCode>
                <c:ptCount val="5"/>
                <c:pt idx="0">
                  <c:v>39.558300000000003</c:v>
                </c:pt>
                <c:pt idx="1">
                  <c:v>59.42822000000001</c:v>
                </c:pt>
                <c:pt idx="2">
                  <c:v>79.298140000000018</c:v>
                </c:pt>
                <c:pt idx="3">
                  <c:v>99.168060000000025</c:v>
                </c:pt>
                <c:pt idx="4">
                  <c:v>119.03798000000003</c:v>
                </c:pt>
              </c:numCache>
            </c:numRef>
          </c:val>
        </c:ser>
        <c:hiLowLines/>
        <c:marker val="1"/>
        <c:axId val="62837888"/>
        <c:axId val="62839808"/>
      </c:lineChart>
      <c:catAx>
        <c:axId val="62837888"/>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62839808"/>
        <c:crosses val="autoZero"/>
        <c:auto val="1"/>
        <c:lblAlgn val="ctr"/>
        <c:lblOffset val="100"/>
      </c:catAx>
      <c:valAx>
        <c:axId val="62839808"/>
        <c:scaling>
          <c:orientation val="minMax"/>
          <c:max val="140"/>
          <c:min val="40"/>
        </c:scaling>
        <c:axPos val="l"/>
        <c:majorGridlines/>
        <c:title>
          <c:tx>
            <c:rich>
              <a:bodyPr/>
              <a:lstStyle/>
              <a:p>
                <a:pPr>
                  <a:defRPr/>
                </a:pPr>
                <a:r>
                  <a:rPr lang="en-US"/>
                  <a:t>% Utilization</a:t>
                </a:r>
              </a:p>
            </c:rich>
          </c:tx>
        </c:title>
        <c:numFmt formatCode="General" sourceLinked="1"/>
        <c:tickLblPos val="nextTo"/>
        <c:crossAx val="62837888"/>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Mailbox Server: Memory Utilization</a:t>
            </a:r>
          </a:p>
        </c:rich>
      </c:tx>
    </c:title>
    <c:plotArea>
      <c:layout/>
      <c:lineChart>
        <c:grouping val="standard"/>
        <c:ser>
          <c:idx val="0"/>
          <c:order val="0"/>
          <c:tx>
            <c:strRef>
              <c:f>Values!$BZ$7</c:f>
              <c:strCache>
                <c:ptCount val="1"/>
                <c:pt idx="0">
                  <c:v>5 engines</c:v>
                </c:pt>
              </c:strCache>
            </c:strRef>
          </c:tx>
          <c:marker>
            <c:symbol val="none"/>
          </c:marker>
          <c:cat>
            <c:numRef>
              <c:f>Values!$BY$8:$BY$22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Values!$BZ$8:$BZ$22</c:f>
              <c:numCache>
                <c:formatCode>General</c:formatCode>
                <c:ptCount val="15"/>
                <c:pt idx="0">
                  <c:v>63.85771618652344</c:v>
                </c:pt>
                <c:pt idx="1">
                  <c:v>106.58232556152345</c:v>
                </c:pt>
                <c:pt idx="2">
                  <c:v>149.30693493652345</c:v>
                </c:pt>
                <c:pt idx="3">
                  <c:v>192.03154431152345</c:v>
                </c:pt>
                <c:pt idx="4">
                  <c:v>234.75615368652342</c:v>
                </c:pt>
                <c:pt idx="5">
                  <c:v>277.48076306152342</c:v>
                </c:pt>
                <c:pt idx="6">
                  <c:v>320.20537243652342</c:v>
                </c:pt>
                <c:pt idx="7">
                  <c:v>362.92998181152342</c:v>
                </c:pt>
                <c:pt idx="8">
                  <c:v>405.65459118652336</c:v>
                </c:pt>
                <c:pt idx="9">
                  <c:v>448.37920056152336</c:v>
                </c:pt>
                <c:pt idx="10">
                  <c:v>491.10380993652336</c:v>
                </c:pt>
                <c:pt idx="11">
                  <c:v>533.82841931152336</c:v>
                </c:pt>
                <c:pt idx="12">
                  <c:v>576.55302868652336</c:v>
                </c:pt>
                <c:pt idx="13">
                  <c:v>619.27763806152336</c:v>
                </c:pt>
                <c:pt idx="14">
                  <c:v>662.00224743652336</c:v>
                </c:pt>
              </c:numCache>
            </c:numRef>
          </c:val>
        </c:ser>
        <c:ser>
          <c:idx val="1"/>
          <c:order val="1"/>
          <c:tx>
            <c:strRef>
              <c:f>Values!$CA$7</c:f>
              <c:strCache>
                <c:ptCount val="1"/>
                <c:pt idx="0">
                  <c:v>3 engines</c:v>
                </c:pt>
              </c:strCache>
            </c:strRef>
          </c:tx>
          <c:marker>
            <c:symbol val="none"/>
          </c:marker>
          <c:cat>
            <c:numRef>
              <c:f>Values!$BY$8:$BY$22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Values!$CA$8:$CA$22</c:f>
              <c:numCache>
                <c:formatCode>General</c:formatCode>
                <c:ptCount val="15"/>
                <c:pt idx="0">
                  <c:v>59.056937988281241</c:v>
                </c:pt>
                <c:pt idx="1">
                  <c:v>101.78154736328126</c:v>
                </c:pt>
                <c:pt idx="2">
                  <c:v>144.50615673828128</c:v>
                </c:pt>
                <c:pt idx="3">
                  <c:v>187.23076611328128</c:v>
                </c:pt>
                <c:pt idx="4">
                  <c:v>229.95537548828122</c:v>
                </c:pt>
                <c:pt idx="5">
                  <c:v>272.67998486328122</c:v>
                </c:pt>
                <c:pt idx="6">
                  <c:v>315.40459423828122</c:v>
                </c:pt>
                <c:pt idx="7">
                  <c:v>358.12920361328122</c:v>
                </c:pt>
                <c:pt idx="8">
                  <c:v>400.85381298828128</c:v>
                </c:pt>
                <c:pt idx="9">
                  <c:v>443.57842236328128</c:v>
                </c:pt>
                <c:pt idx="10">
                  <c:v>486.30303173828128</c:v>
                </c:pt>
                <c:pt idx="11">
                  <c:v>529.02764111328122</c:v>
                </c:pt>
                <c:pt idx="12">
                  <c:v>571.75225048828122</c:v>
                </c:pt>
                <c:pt idx="13">
                  <c:v>614.47685986328122</c:v>
                </c:pt>
                <c:pt idx="14">
                  <c:v>657.20146923828122</c:v>
                </c:pt>
              </c:numCache>
            </c:numRef>
          </c:val>
        </c:ser>
        <c:ser>
          <c:idx val="2"/>
          <c:order val="2"/>
          <c:tx>
            <c:strRef>
              <c:f>Values!$CB$7</c:f>
              <c:strCache>
                <c:ptCount val="1"/>
                <c:pt idx="0">
                  <c:v>1 engine</c:v>
                </c:pt>
              </c:strCache>
            </c:strRef>
          </c:tx>
          <c:marker>
            <c:symbol val="none"/>
          </c:marker>
          <c:cat>
            <c:numRef>
              <c:f>Values!$BY$8:$BY$22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Values!$CB$8:$CB$22</c:f>
              <c:numCache>
                <c:formatCode>General</c:formatCode>
                <c:ptCount val="15"/>
                <c:pt idx="0">
                  <c:v>57.657733642578123</c:v>
                </c:pt>
                <c:pt idx="1">
                  <c:v>100.38234301757814</c:v>
                </c:pt>
                <c:pt idx="2">
                  <c:v>143.10695239257814</c:v>
                </c:pt>
                <c:pt idx="3">
                  <c:v>185.83156176757814</c:v>
                </c:pt>
                <c:pt idx="4">
                  <c:v>228.55617114257814</c:v>
                </c:pt>
                <c:pt idx="5">
                  <c:v>271.28078051757814</c:v>
                </c:pt>
                <c:pt idx="6">
                  <c:v>314.00538989257814</c:v>
                </c:pt>
                <c:pt idx="7">
                  <c:v>356.72999926757814</c:v>
                </c:pt>
                <c:pt idx="8">
                  <c:v>399.45460864257814</c:v>
                </c:pt>
                <c:pt idx="9">
                  <c:v>442.17921801757808</c:v>
                </c:pt>
                <c:pt idx="10">
                  <c:v>484.90382739257808</c:v>
                </c:pt>
                <c:pt idx="11">
                  <c:v>527.62843676757814</c:v>
                </c:pt>
                <c:pt idx="12">
                  <c:v>570.35304614257814</c:v>
                </c:pt>
                <c:pt idx="13">
                  <c:v>613.07765551757814</c:v>
                </c:pt>
                <c:pt idx="14">
                  <c:v>655.80226489257814</c:v>
                </c:pt>
              </c:numCache>
            </c:numRef>
          </c:val>
        </c:ser>
        <c:ser>
          <c:idx val="3"/>
          <c:order val="3"/>
          <c:tx>
            <c:strRef>
              <c:f>Values!$CC$7</c:f>
              <c:strCache>
                <c:ptCount val="1"/>
                <c:pt idx="0">
                  <c:v>Exchange only</c:v>
                </c:pt>
              </c:strCache>
            </c:strRef>
          </c:tx>
          <c:marker>
            <c:symbol val="none"/>
          </c:marker>
          <c:cat>
            <c:numRef>
              <c:f>Values!$BY$8:$BY$22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Values!$CC$8:$CC$22</c:f>
              <c:numCache>
                <c:formatCode>General</c:formatCode>
                <c:ptCount val="15"/>
                <c:pt idx="0">
                  <c:v>55.224609375</c:v>
                </c:pt>
                <c:pt idx="1">
                  <c:v>97.94921875</c:v>
                </c:pt>
                <c:pt idx="2">
                  <c:v>140.673828125</c:v>
                </c:pt>
                <c:pt idx="3">
                  <c:v>183.3984375</c:v>
                </c:pt>
                <c:pt idx="4">
                  <c:v>226.123046875</c:v>
                </c:pt>
                <c:pt idx="5">
                  <c:v>268.84765625</c:v>
                </c:pt>
                <c:pt idx="6">
                  <c:v>311.572265625</c:v>
                </c:pt>
                <c:pt idx="7">
                  <c:v>354.296875</c:v>
                </c:pt>
                <c:pt idx="8">
                  <c:v>397.021484375</c:v>
                </c:pt>
                <c:pt idx="9">
                  <c:v>439.74609375</c:v>
                </c:pt>
                <c:pt idx="10">
                  <c:v>482.470703125</c:v>
                </c:pt>
                <c:pt idx="11">
                  <c:v>525.1953125</c:v>
                </c:pt>
                <c:pt idx="12">
                  <c:v>567.919921875</c:v>
                </c:pt>
                <c:pt idx="13">
                  <c:v>610.64453125</c:v>
                </c:pt>
                <c:pt idx="14">
                  <c:v>653.369140625</c:v>
                </c:pt>
              </c:numCache>
            </c:numRef>
          </c:val>
        </c:ser>
        <c:hiLowLines/>
        <c:marker val="1"/>
        <c:axId val="94254976"/>
        <c:axId val="94265344"/>
      </c:lineChart>
      <c:catAx>
        <c:axId val="94254976"/>
        <c:scaling>
          <c:orientation val="minMax"/>
        </c:scaling>
        <c:axPos val="b"/>
        <c:title>
          <c:tx>
            <c:rich>
              <a:bodyPr/>
              <a:lstStyle/>
              <a:p>
                <a:pPr>
                  <a:defRPr/>
                </a:pPr>
                <a:r>
                  <a:rPr lang="en-US"/>
                  <a:t>Number of Mailboxes</a:t>
                </a:r>
              </a:p>
            </c:rich>
          </c:tx>
        </c:title>
        <c:numFmt formatCode="General" sourceLinked="1"/>
        <c:majorTickMark val="none"/>
        <c:tickLblPos val="nextTo"/>
        <c:crossAx val="94265344"/>
        <c:crosses val="autoZero"/>
        <c:auto val="1"/>
        <c:lblAlgn val="ctr"/>
        <c:lblOffset val="100"/>
      </c:catAx>
      <c:valAx>
        <c:axId val="94265344"/>
        <c:scaling>
          <c:orientation val="minMax"/>
        </c:scaling>
        <c:axPos val="l"/>
        <c:majorGridlines/>
        <c:title>
          <c:tx>
            <c:rich>
              <a:bodyPr/>
              <a:lstStyle/>
              <a:p>
                <a:pPr>
                  <a:defRPr/>
                </a:pPr>
                <a:r>
                  <a:rPr lang="en-US"/>
                  <a:t>% Utilization</a:t>
                </a:r>
              </a:p>
            </c:rich>
          </c:tx>
        </c:title>
        <c:numFmt formatCode="General" sourceLinked="1"/>
        <c:tickLblPos val="nextTo"/>
        <c:crossAx val="94254976"/>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CPU Utilization</a:t>
            </a:r>
          </a:p>
        </c:rich>
      </c:tx>
    </c:title>
    <c:plotArea>
      <c:layout/>
      <c:lineChart>
        <c:grouping val="standard"/>
        <c:ser>
          <c:idx val="0"/>
          <c:order val="0"/>
          <c:tx>
            <c:strRef>
              <c:f>Values!$AQ$25</c:f>
              <c:strCache>
                <c:ptCount val="1"/>
                <c:pt idx="0">
                  <c:v>5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Values!$AQ$26:$AQ$34</c:f>
              <c:numCache>
                <c:formatCode>General</c:formatCode>
                <c:ptCount val="9"/>
                <c:pt idx="0">
                  <c:v>7.2281790511431199</c:v>
                </c:pt>
                <c:pt idx="1">
                  <c:v>33.145695255715601</c:v>
                </c:pt>
                <c:pt idx="2">
                  <c:v>65.5425905114312</c:v>
                </c:pt>
                <c:pt idx="3">
                  <c:v>97.939485767146806</c:v>
                </c:pt>
                <c:pt idx="4">
                  <c:v>130.33638102286241</c:v>
                </c:pt>
                <c:pt idx="5">
                  <c:v>162.73327627857802</c:v>
                </c:pt>
                <c:pt idx="6">
                  <c:v>195.13017153429359</c:v>
                </c:pt>
                <c:pt idx="7">
                  <c:v>227.5270667900092</c:v>
                </c:pt>
                <c:pt idx="8">
                  <c:v>259.92396204572481</c:v>
                </c:pt>
              </c:numCache>
            </c:numRef>
          </c:val>
        </c:ser>
        <c:ser>
          <c:idx val="1"/>
          <c:order val="1"/>
          <c:tx>
            <c:strRef>
              <c:f>Values!$AR$25</c:f>
              <c:strCache>
                <c:ptCount val="1"/>
                <c:pt idx="0">
                  <c:v>3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Values!$AR$26:$AR$34</c:f>
              <c:numCache>
                <c:formatCode>General</c:formatCode>
                <c:ptCount val="9"/>
                <c:pt idx="0">
                  <c:v>5.1901101175551654</c:v>
                </c:pt>
                <c:pt idx="1">
                  <c:v>17.558550587775827</c:v>
                </c:pt>
                <c:pt idx="2">
                  <c:v>33.019101175551654</c:v>
                </c:pt>
                <c:pt idx="3">
                  <c:v>48.479651763327489</c:v>
                </c:pt>
                <c:pt idx="4">
                  <c:v>63.940202351103309</c:v>
                </c:pt>
                <c:pt idx="5">
                  <c:v>79.400752938879137</c:v>
                </c:pt>
                <c:pt idx="6">
                  <c:v>94.861303526654979</c:v>
                </c:pt>
                <c:pt idx="7">
                  <c:v>110.32185411443079</c:v>
                </c:pt>
                <c:pt idx="8">
                  <c:v>125.78240470220661</c:v>
                </c:pt>
              </c:numCache>
            </c:numRef>
          </c:val>
        </c:ser>
        <c:ser>
          <c:idx val="2"/>
          <c:order val="2"/>
          <c:tx>
            <c:strRef>
              <c:f>Values!$AS$25</c:f>
              <c:strCache>
                <c:ptCount val="1"/>
                <c:pt idx="0">
                  <c:v>1 engine</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Values!$AS$26:$AS$34</c:f>
              <c:numCache>
                <c:formatCode>General</c:formatCode>
                <c:ptCount val="9"/>
                <c:pt idx="0">
                  <c:v>3.9325840959237461</c:v>
                </c:pt>
                <c:pt idx="1">
                  <c:v>15.253320479618729</c:v>
                </c:pt>
                <c:pt idx="2">
                  <c:v>29.404240959237463</c:v>
                </c:pt>
                <c:pt idx="3">
                  <c:v>43.555161438856203</c:v>
                </c:pt>
                <c:pt idx="4">
                  <c:v>57.706081918474922</c:v>
                </c:pt>
                <c:pt idx="5">
                  <c:v>71.85700239809367</c:v>
                </c:pt>
                <c:pt idx="6">
                  <c:v>86.007922877712403</c:v>
                </c:pt>
                <c:pt idx="7">
                  <c:v>100.15884335733112</c:v>
                </c:pt>
                <c:pt idx="8">
                  <c:v>114.30976383694986</c:v>
                </c:pt>
              </c:numCache>
            </c:numRef>
          </c:val>
        </c:ser>
        <c:ser>
          <c:idx val="3"/>
          <c:order val="3"/>
          <c:tx>
            <c:strRef>
              <c:f>Values!$AT$25</c:f>
              <c:strCache>
                <c:ptCount val="1"/>
                <c:pt idx="0">
                  <c:v>Exchange only</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Values!$AT$26:$AT$34</c:f>
              <c:numCache>
                <c:formatCode>General</c:formatCode>
                <c:ptCount val="9"/>
                <c:pt idx="0">
                  <c:v>1.1727628312627449</c:v>
                </c:pt>
                <c:pt idx="1">
                  <c:v>4.1678093461871422</c:v>
                </c:pt>
                <c:pt idx="2">
                  <c:v>7.911617489842639</c:v>
                </c:pt>
                <c:pt idx="3">
                  <c:v>11.655425633498137</c:v>
                </c:pt>
                <c:pt idx="4">
                  <c:v>15.399233777153633</c:v>
                </c:pt>
                <c:pt idx="5">
                  <c:v>19.143041920809132</c:v>
                </c:pt>
                <c:pt idx="6">
                  <c:v>22.886850064464632</c:v>
                </c:pt>
                <c:pt idx="7">
                  <c:v>26.630658208120124</c:v>
                </c:pt>
                <c:pt idx="8">
                  <c:v>30.37446635177562</c:v>
                </c:pt>
              </c:numCache>
            </c:numRef>
          </c:val>
        </c:ser>
        <c:hiLowLines/>
        <c:marker val="1"/>
        <c:axId val="95423104"/>
        <c:axId val="95433472"/>
      </c:lineChart>
      <c:catAx>
        <c:axId val="95423104"/>
        <c:scaling>
          <c:orientation val="minMax"/>
        </c:scaling>
        <c:axPos val="b"/>
        <c:title>
          <c:tx>
            <c:rich>
              <a:bodyPr/>
              <a:lstStyle/>
              <a:p>
                <a:pPr>
                  <a:defRPr/>
                </a:pPr>
                <a:r>
                  <a:rPr lang="en-US"/>
                  <a:t>Message Rate (messages/second)</a:t>
                </a:r>
              </a:p>
            </c:rich>
          </c:tx>
        </c:title>
        <c:numFmt formatCode="0" sourceLinked="1"/>
        <c:majorTickMark val="none"/>
        <c:tickLblPos val="nextTo"/>
        <c:crossAx val="95433472"/>
        <c:crosses val="autoZero"/>
        <c:auto val="1"/>
        <c:lblAlgn val="ctr"/>
        <c:lblOffset val="100"/>
      </c:catAx>
      <c:valAx>
        <c:axId val="95433472"/>
        <c:scaling>
          <c:orientation val="minMax"/>
        </c:scaling>
        <c:axPos val="l"/>
        <c:majorGridlines/>
        <c:title>
          <c:tx>
            <c:rich>
              <a:bodyPr/>
              <a:lstStyle/>
              <a:p>
                <a:pPr>
                  <a:defRPr/>
                </a:pPr>
                <a:r>
                  <a:rPr lang="en-US"/>
                  <a:t>% Utilization</a:t>
                </a:r>
              </a:p>
            </c:rich>
          </c:tx>
        </c:title>
        <c:numFmt formatCode="General" sourceLinked="1"/>
        <c:tickLblPos val="nextTo"/>
        <c:crossAx val="95423104"/>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a:t>
            </a:r>
            <a:r>
              <a:rPr lang="en-US" baseline="0"/>
              <a:t> Memory Utilization</a:t>
            </a:r>
            <a:endParaRPr lang="en-US"/>
          </a:p>
        </c:rich>
      </c:tx>
    </c:title>
    <c:plotArea>
      <c:layout/>
      <c:lineChart>
        <c:grouping val="standard"/>
        <c:ser>
          <c:idx val="0"/>
          <c:order val="0"/>
          <c:tx>
            <c:strRef>
              <c:f>Values!$AV$25</c:f>
              <c:strCache>
                <c:ptCount val="1"/>
                <c:pt idx="0">
                  <c:v>5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Values!$AV$26:$AV$34</c:f>
              <c:numCache>
                <c:formatCode>0.000</c:formatCode>
                <c:ptCount val="9"/>
                <c:pt idx="0">
                  <c:v>2.5060199834410817</c:v>
                </c:pt>
                <c:pt idx="1">
                  <c:v>2.5060239668821627</c:v>
                </c:pt>
                <c:pt idx="2">
                  <c:v>2.5060279503232445</c:v>
                </c:pt>
                <c:pt idx="3">
                  <c:v>2.506031933764326</c:v>
                </c:pt>
                <c:pt idx="4">
                  <c:v>2.5060359172054074</c:v>
                </c:pt>
                <c:pt idx="5">
                  <c:v>2.5060399006464893</c:v>
                </c:pt>
                <c:pt idx="6">
                  <c:v>2.5060438840875707</c:v>
                </c:pt>
                <c:pt idx="7">
                  <c:v>2.5060478675286522</c:v>
                </c:pt>
                <c:pt idx="8">
                  <c:v>2.5060518509697336</c:v>
                </c:pt>
              </c:numCache>
            </c:numRef>
          </c:val>
        </c:ser>
        <c:ser>
          <c:idx val="1"/>
          <c:order val="1"/>
          <c:tx>
            <c:strRef>
              <c:f>Values!$AW$25</c:f>
              <c:strCache>
                <c:ptCount val="1"/>
                <c:pt idx="0">
                  <c:v>3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Values!$AW$26:$AW$34</c:f>
              <c:numCache>
                <c:formatCode>0.000</c:formatCode>
                <c:ptCount val="9"/>
                <c:pt idx="0">
                  <c:v>2.1224072797368034</c:v>
                </c:pt>
                <c:pt idx="1">
                  <c:v>2.1224105594736069</c:v>
                </c:pt>
                <c:pt idx="2">
                  <c:v>2.1224138392104108</c:v>
                </c:pt>
                <c:pt idx="3">
                  <c:v>2.1224171189472143</c:v>
                </c:pt>
                <c:pt idx="4">
                  <c:v>2.1224203986840178</c:v>
                </c:pt>
                <c:pt idx="5">
                  <c:v>2.1224236784208212</c:v>
                </c:pt>
                <c:pt idx="6">
                  <c:v>2.1224269581576252</c:v>
                </c:pt>
                <c:pt idx="7">
                  <c:v>2.1224302378944286</c:v>
                </c:pt>
                <c:pt idx="8">
                  <c:v>2.1224335176312321</c:v>
                </c:pt>
              </c:numCache>
            </c:numRef>
          </c:val>
        </c:ser>
        <c:ser>
          <c:idx val="2"/>
          <c:order val="2"/>
          <c:tx>
            <c:strRef>
              <c:f>Values!$AX$25</c:f>
              <c:strCache>
                <c:ptCount val="1"/>
                <c:pt idx="0">
                  <c:v>1 engine</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Values!$AX$26:$AX$34</c:f>
              <c:numCache>
                <c:formatCode>0.000</c:formatCode>
                <c:ptCount val="9"/>
                <c:pt idx="0">
                  <c:v>1.9001574096211167</c:v>
                </c:pt>
                <c:pt idx="1">
                  <c:v>1.9001588192422332</c:v>
                </c:pt>
                <c:pt idx="2">
                  <c:v>1.9001602288633499</c:v>
                </c:pt>
                <c:pt idx="3">
                  <c:v>1.9001616384844664</c:v>
                </c:pt>
                <c:pt idx="4">
                  <c:v>1.9001630481055829</c:v>
                </c:pt>
                <c:pt idx="5">
                  <c:v>1.9001644577266992</c:v>
                </c:pt>
                <c:pt idx="6">
                  <c:v>1.9001658673478159</c:v>
                </c:pt>
                <c:pt idx="7">
                  <c:v>1.9001672769689324</c:v>
                </c:pt>
                <c:pt idx="8">
                  <c:v>1.9001686865900489</c:v>
                </c:pt>
              </c:numCache>
            </c:numRef>
          </c:val>
        </c:ser>
        <c:ser>
          <c:idx val="3"/>
          <c:order val="3"/>
          <c:tx>
            <c:strRef>
              <c:f>Values!$AY$25</c:f>
              <c:strCache>
                <c:ptCount val="1"/>
                <c:pt idx="0">
                  <c:v>Exchange only</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Values!$AY$26:$AY$34</c:f>
              <c:numCache>
                <c:formatCode>0.000</c:formatCode>
                <c:ptCount val="9"/>
                <c:pt idx="0">
                  <c:v>1.535257792965196</c:v>
                </c:pt>
                <c:pt idx="1">
                  <c:v>1.535887585930392</c:v>
                </c:pt>
                <c:pt idx="2">
                  <c:v>1.5365173788955879</c:v>
                </c:pt>
                <c:pt idx="3">
                  <c:v>1.5371471718607839</c:v>
                </c:pt>
                <c:pt idx="4">
                  <c:v>1.5377769648259798</c:v>
                </c:pt>
                <c:pt idx="5">
                  <c:v>1.5384067577911755</c:v>
                </c:pt>
                <c:pt idx="6">
                  <c:v>1.5390365507563717</c:v>
                </c:pt>
                <c:pt idx="7">
                  <c:v>1.5396663437215676</c:v>
                </c:pt>
                <c:pt idx="8">
                  <c:v>1.5402961366867636</c:v>
                </c:pt>
              </c:numCache>
            </c:numRef>
          </c:val>
        </c:ser>
        <c:hiLowLines/>
        <c:marker val="1"/>
        <c:axId val="116869376"/>
        <c:axId val="116879744"/>
      </c:lineChart>
      <c:catAx>
        <c:axId val="116869376"/>
        <c:scaling>
          <c:orientation val="minMax"/>
        </c:scaling>
        <c:axPos val="b"/>
        <c:minorGridlines/>
        <c:title>
          <c:tx>
            <c:rich>
              <a:bodyPr/>
              <a:lstStyle/>
              <a:p>
                <a:pPr>
                  <a:defRPr/>
                </a:pPr>
                <a:r>
                  <a:rPr lang="en-US"/>
                  <a:t>Message Rate (messages/second)</a:t>
                </a:r>
              </a:p>
            </c:rich>
          </c:tx>
        </c:title>
        <c:numFmt formatCode="0" sourceLinked="1"/>
        <c:majorTickMark val="none"/>
        <c:tickLblPos val="nextTo"/>
        <c:crossAx val="116879744"/>
        <c:crosses val="autoZero"/>
        <c:auto val="1"/>
        <c:lblAlgn val="ctr"/>
        <c:lblOffset val="100"/>
      </c:catAx>
      <c:valAx>
        <c:axId val="116879744"/>
        <c:scaling>
          <c:orientation val="minMax"/>
          <c:min val="1.5"/>
        </c:scaling>
        <c:axPos val="l"/>
        <c:majorGridlines/>
        <c:title>
          <c:tx>
            <c:rich>
              <a:bodyPr/>
              <a:lstStyle/>
              <a:p>
                <a:pPr>
                  <a:defRPr/>
                </a:pPr>
                <a:r>
                  <a:rPr lang="en-US"/>
                  <a:t>Memory</a:t>
                </a:r>
                <a:r>
                  <a:rPr lang="en-US" baseline="0"/>
                  <a:t> Utilization (GB)</a:t>
                </a:r>
                <a:endParaRPr lang="en-US"/>
              </a:p>
            </c:rich>
          </c:tx>
        </c:title>
        <c:numFmt formatCode="0.0" sourceLinked="0"/>
        <c:tickLblPos val="nextTo"/>
        <c:crossAx val="116869376"/>
        <c:crosses val="autoZero"/>
        <c:crossBetween val="between"/>
      </c:valAx>
    </c:plotArea>
    <c:legend>
      <c:legendPos val="r"/>
    </c:legend>
    <c:plotVisOnly val="1"/>
  </c:chart>
  <c:printSettings>
    <c:headerFooter/>
    <c:pageMargins b="0.75000000000000189" l="0.70000000000000062" r="0.70000000000000062" t="0.750000000000001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 Role Server: CPU</a:t>
            </a:r>
            <a:r>
              <a:rPr lang="en-US" baseline="0"/>
              <a:t> Utilization</a:t>
            </a:r>
            <a:endParaRPr lang="en-US"/>
          </a:p>
        </c:rich>
      </c:tx>
    </c:title>
    <c:plotArea>
      <c:layout/>
      <c:lineChart>
        <c:grouping val="standard"/>
        <c:ser>
          <c:idx val="0"/>
          <c:order val="0"/>
          <c:tx>
            <c:strRef>
              <c:f>Values!$BA$7</c:f>
              <c:strCache>
                <c:ptCount val="1"/>
                <c:pt idx="0">
                  <c:v>5 engines</c:v>
                </c:pt>
              </c:strCache>
            </c:strRef>
          </c:tx>
          <c:marker>
            <c:symbol val="none"/>
          </c:marker>
          <c:cat>
            <c:numRef>
              <c:f>Values!$AZ$8:$AZ$10</c:f>
              <c:numCache>
                <c:formatCode>General</c:formatCode>
                <c:ptCount val="3"/>
                <c:pt idx="0">
                  <c:v>2000</c:v>
                </c:pt>
                <c:pt idx="1">
                  <c:v>4000</c:v>
                </c:pt>
                <c:pt idx="2">
                  <c:v>6000</c:v>
                </c:pt>
              </c:numCache>
            </c:numRef>
          </c:cat>
          <c:val>
            <c:numRef>
              <c:f>Values!$BA$8:$BA$10</c:f>
              <c:numCache>
                <c:formatCode>General</c:formatCode>
                <c:ptCount val="3"/>
                <c:pt idx="0">
                  <c:v>41.203180301783853</c:v>
                </c:pt>
                <c:pt idx="1">
                  <c:v>81.803920965862943</c:v>
                </c:pt>
                <c:pt idx="2">
                  <c:v>122.40466162994204</c:v>
                </c:pt>
              </c:numCache>
            </c:numRef>
          </c:val>
        </c:ser>
        <c:ser>
          <c:idx val="1"/>
          <c:order val="1"/>
          <c:tx>
            <c:strRef>
              <c:f>Values!$BB$7</c:f>
              <c:strCache>
                <c:ptCount val="1"/>
                <c:pt idx="0">
                  <c:v>3 engines</c:v>
                </c:pt>
              </c:strCache>
            </c:strRef>
          </c:tx>
          <c:marker>
            <c:symbol val="none"/>
          </c:marker>
          <c:cat>
            <c:numRef>
              <c:f>Values!$AZ$8:$AZ$10</c:f>
              <c:numCache>
                <c:formatCode>General</c:formatCode>
                <c:ptCount val="3"/>
                <c:pt idx="0">
                  <c:v>2000</c:v>
                </c:pt>
                <c:pt idx="1">
                  <c:v>4000</c:v>
                </c:pt>
                <c:pt idx="2">
                  <c:v>6000</c:v>
                </c:pt>
              </c:numCache>
            </c:numRef>
          </c:cat>
          <c:val>
            <c:numRef>
              <c:f>Values!$BB$8:$BB$10</c:f>
              <c:numCache>
                <c:formatCode>General</c:formatCode>
                <c:ptCount val="3"/>
                <c:pt idx="0">
                  <c:v>39.530535325870595</c:v>
                </c:pt>
                <c:pt idx="1">
                  <c:v>78.263051110383387</c:v>
                </c:pt>
                <c:pt idx="2">
                  <c:v>116.99556689489617</c:v>
                </c:pt>
              </c:numCache>
            </c:numRef>
          </c:val>
        </c:ser>
        <c:ser>
          <c:idx val="2"/>
          <c:order val="2"/>
          <c:tx>
            <c:strRef>
              <c:f>Values!$BC$7</c:f>
              <c:strCache>
                <c:ptCount val="1"/>
                <c:pt idx="0">
                  <c:v>1 engine</c:v>
                </c:pt>
              </c:strCache>
            </c:strRef>
          </c:tx>
          <c:marker>
            <c:symbol val="none"/>
          </c:marker>
          <c:cat>
            <c:numRef>
              <c:f>Values!$AZ$8:$AZ$10</c:f>
              <c:numCache>
                <c:formatCode>General</c:formatCode>
                <c:ptCount val="3"/>
                <c:pt idx="0">
                  <c:v>2000</c:v>
                </c:pt>
                <c:pt idx="1">
                  <c:v>4000</c:v>
                </c:pt>
                <c:pt idx="2">
                  <c:v>6000</c:v>
                </c:pt>
              </c:numCache>
            </c:numRef>
          </c:cat>
          <c:val>
            <c:numRef>
              <c:f>Values!$BC$8:$BC$10</c:f>
              <c:numCache>
                <c:formatCode>General</c:formatCode>
                <c:ptCount val="3"/>
                <c:pt idx="0">
                  <c:v>37.789565461210053</c:v>
                </c:pt>
                <c:pt idx="1">
                  <c:v>75.035231922420095</c:v>
                </c:pt>
                <c:pt idx="2">
                  <c:v>112.28089838363016</c:v>
                </c:pt>
              </c:numCache>
            </c:numRef>
          </c:val>
        </c:ser>
        <c:ser>
          <c:idx val="3"/>
          <c:order val="3"/>
          <c:tx>
            <c:strRef>
              <c:f>Values!$BD$7</c:f>
              <c:strCache>
                <c:ptCount val="1"/>
                <c:pt idx="0">
                  <c:v>Exchange only</c:v>
                </c:pt>
              </c:strCache>
            </c:strRef>
          </c:tx>
          <c:marker>
            <c:symbol val="none"/>
          </c:marker>
          <c:cat>
            <c:numRef>
              <c:f>Values!$AZ$8:$AZ$10</c:f>
              <c:numCache>
                <c:formatCode>General</c:formatCode>
                <c:ptCount val="3"/>
                <c:pt idx="0">
                  <c:v>2000</c:v>
                </c:pt>
                <c:pt idx="1">
                  <c:v>4000</c:v>
                </c:pt>
                <c:pt idx="2">
                  <c:v>6000</c:v>
                </c:pt>
              </c:numCache>
            </c:numRef>
          </c:cat>
          <c:val>
            <c:numRef>
              <c:f>Values!$BD$8:$BD$10</c:f>
              <c:numCache>
                <c:formatCode>General</c:formatCode>
                <c:ptCount val="3"/>
                <c:pt idx="0">
                  <c:v>32.424164303035525</c:v>
                </c:pt>
                <c:pt idx="1">
                  <c:v>64.26011562535669</c:v>
                </c:pt>
                <c:pt idx="2">
                  <c:v>96.096066947677855</c:v>
                </c:pt>
              </c:numCache>
            </c:numRef>
          </c:val>
        </c:ser>
        <c:hiLowLines/>
        <c:marker val="1"/>
        <c:axId val="95477120"/>
        <c:axId val="95483392"/>
      </c:lineChart>
      <c:catAx>
        <c:axId val="95477120"/>
        <c:scaling>
          <c:orientation val="minMax"/>
        </c:scaling>
        <c:axPos val="b"/>
        <c:title>
          <c:tx>
            <c:rich>
              <a:bodyPr/>
              <a:lstStyle/>
              <a:p>
                <a:pPr>
                  <a:defRPr/>
                </a:pPr>
                <a:r>
                  <a:rPr lang="en-US"/>
                  <a:t>Number of Mailboxes</a:t>
                </a:r>
              </a:p>
            </c:rich>
          </c:tx>
        </c:title>
        <c:numFmt formatCode="General" sourceLinked="1"/>
        <c:majorTickMark val="none"/>
        <c:tickLblPos val="nextTo"/>
        <c:crossAx val="95483392"/>
        <c:crosses val="autoZero"/>
        <c:auto val="1"/>
        <c:lblAlgn val="ctr"/>
        <c:lblOffset val="100"/>
      </c:catAx>
      <c:valAx>
        <c:axId val="95483392"/>
        <c:scaling>
          <c:orientation val="minMax"/>
        </c:scaling>
        <c:axPos val="l"/>
        <c:majorGridlines/>
        <c:title>
          <c:tx>
            <c:rich>
              <a:bodyPr/>
              <a:lstStyle/>
              <a:p>
                <a:pPr>
                  <a:defRPr/>
                </a:pPr>
                <a:r>
                  <a:rPr lang="en-US"/>
                  <a:t>% Utilization</a:t>
                </a:r>
              </a:p>
            </c:rich>
          </c:tx>
        </c:title>
        <c:numFmt formatCode="General" sourceLinked="1"/>
        <c:tickLblPos val="nextTo"/>
        <c:crossAx val="95477120"/>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MR CPU 8000</a:t>
            </a:r>
          </a:p>
        </c:rich>
      </c:tx>
    </c:title>
    <c:plotArea>
      <c:layout/>
      <c:lineChart>
        <c:grouping val="standard"/>
        <c:ser>
          <c:idx val="0"/>
          <c:order val="0"/>
          <c:tx>
            <c:strRef>
              <c:f>Values!$BA$7</c:f>
              <c:strCache>
                <c:ptCount val="1"/>
                <c:pt idx="0">
                  <c:v>5 engines</c:v>
                </c:pt>
              </c:strCache>
            </c:strRef>
          </c:tx>
          <c:marker>
            <c:symbol val="none"/>
          </c:marker>
          <c:cat>
            <c:numRef>
              <c:f>Values!$AZ$8:$AZ$11</c:f>
              <c:numCache>
                <c:formatCode>General</c:formatCode>
                <c:ptCount val="4"/>
                <c:pt idx="0">
                  <c:v>2000</c:v>
                </c:pt>
                <c:pt idx="1">
                  <c:v>4000</c:v>
                </c:pt>
                <c:pt idx="2">
                  <c:v>6000</c:v>
                </c:pt>
                <c:pt idx="3">
                  <c:v>8000</c:v>
                </c:pt>
              </c:numCache>
            </c:numRef>
          </c:cat>
          <c:val>
            <c:numRef>
              <c:f>Values!$BA$8:$BA$11</c:f>
              <c:numCache>
                <c:formatCode>General</c:formatCode>
                <c:ptCount val="4"/>
                <c:pt idx="0">
                  <c:v>41.203180301783853</c:v>
                </c:pt>
                <c:pt idx="1">
                  <c:v>81.803920965862943</c:v>
                </c:pt>
                <c:pt idx="2">
                  <c:v>122.40466162994204</c:v>
                </c:pt>
                <c:pt idx="3">
                  <c:v>163.00540229402114</c:v>
                </c:pt>
              </c:numCache>
            </c:numRef>
          </c:val>
        </c:ser>
        <c:ser>
          <c:idx val="1"/>
          <c:order val="1"/>
          <c:tx>
            <c:strRef>
              <c:f>Values!$BB$7</c:f>
              <c:strCache>
                <c:ptCount val="1"/>
                <c:pt idx="0">
                  <c:v>3 engines</c:v>
                </c:pt>
              </c:strCache>
            </c:strRef>
          </c:tx>
          <c:marker>
            <c:symbol val="none"/>
          </c:marker>
          <c:cat>
            <c:numRef>
              <c:f>Values!$AZ$8:$AZ$11</c:f>
              <c:numCache>
                <c:formatCode>General</c:formatCode>
                <c:ptCount val="4"/>
                <c:pt idx="0">
                  <c:v>2000</c:v>
                </c:pt>
                <c:pt idx="1">
                  <c:v>4000</c:v>
                </c:pt>
                <c:pt idx="2">
                  <c:v>6000</c:v>
                </c:pt>
                <c:pt idx="3">
                  <c:v>8000</c:v>
                </c:pt>
              </c:numCache>
            </c:numRef>
          </c:cat>
          <c:val>
            <c:numRef>
              <c:f>Values!$BB$8:$BB$11</c:f>
              <c:numCache>
                <c:formatCode>General</c:formatCode>
                <c:ptCount val="4"/>
                <c:pt idx="0">
                  <c:v>39.530535325870595</c:v>
                </c:pt>
                <c:pt idx="1">
                  <c:v>78.263051110383387</c:v>
                </c:pt>
                <c:pt idx="2">
                  <c:v>116.99556689489617</c:v>
                </c:pt>
                <c:pt idx="3">
                  <c:v>155.72808267940894</c:v>
                </c:pt>
              </c:numCache>
            </c:numRef>
          </c:val>
        </c:ser>
        <c:ser>
          <c:idx val="2"/>
          <c:order val="2"/>
          <c:tx>
            <c:strRef>
              <c:f>Values!$BC$7</c:f>
              <c:strCache>
                <c:ptCount val="1"/>
                <c:pt idx="0">
                  <c:v>1 engine</c:v>
                </c:pt>
              </c:strCache>
            </c:strRef>
          </c:tx>
          <c:marker>
            <c:symbol val="none"/>
          </c:marker>
          <c:cat>
            <c:numRef>
              <c:f>Values!$AZ$8:$AZ$11</c:f>
              <c:numCache>
                <c:formatCode>General</c:formatCode>
                <c:ptCount val="4"/>
                <c:pt idx="0">
                  <c:v>2000</c:v>
                </c:pt>
                <c:pt idx="1">
                  <c:v>4000</c:v>
                </c:pt>
                <c:pt idx="2">
                  <c:v>6000</c:v>
                </c:pt>
                <c:pt idx="3">
                  <c:v>8000</c:v>
                </c:pt>
              </c:numCache>
            </c:numRef>
          </c:cat>
          <c:val>
            <c:numRef>
              <c:f>Values!$BC$8:$BC$11</c:f>
              <c:numCache>
                <c:formatCode>General</c:formatCode>
                <c:ptCount val="4"/>
                <c:pt idx="0">
                  <c:v>37.789565461210053</c:v>
                </c:pt>
                <c:pt idx="1">
                  <c:v>75.035231922420095</c:v>
                </c:pt>
                <c:pt idx="2">
                  <c:v>112.28089838363016</c:v>
                </c:pt>
                <c:pt idx="3">
                  <c:v>149.52656484484021</c:v>
                </c:pt>
              </c:numCache>
            </c:numRef>
          </c:val>
        </c:ser>
        <c:ser>
          <c:idx val="3"/>
          <c:order val="3"/>
          <c:tx>
            <c:strRef>
              <c:f>Values!$BD$7</c:f>
              <c:strCache>
                <c:ptCount val="1"/>
                <c:pt idx="0">
                  <c:v>Exchange only</c:v>
                </c:pt>
              </c:strCache>
            </c:strRef>
          </c:tx>
          <c:marker>
            <c:symbol val="none"/>
          </c:marker>
          <c:cat>
            <c:numRef>
              <c:f>Values!$AZ$8:$AZ$11</c:f>
              <c:numCache>
                <c:formatCode>General</c:formatCode>
                <c:ptCount val="4"/>
                <c:pt idx="0">
                  <c:v>2000</c:v>
                </c:pt>
                <c:pt idx="1">
                  <c:v>4000</c:v>
                </c:pt>
                <c:pt idx="2">
                  <c:v>6000</c:v>
                </c:pt>
                <c:pt idx="3">
                  <c:v>8000</c:v>
                </c:pt>
              </c:numCache>
            </c:numRef>
          </c:cat>
          <c:val>
            <c:numRef>
              <c:f>Values!$BD$8:$BD$11</c:f>
              <c:numCache>
                <c:formatCode>General</c:formatCode>
                <c:ptCount val="4"/>
                <c:pt idx="0">
                  <c:v>32.424164303035525</c:v>
                </c:pt>
                <c:pt idx="1">
                  <c:v>64.26011562535669</c:v>
                </c:pt>
                <c:pt idx="2">
                  <c:v>96.096066947677855</c:v>
                </c:pt>
                <c:pt idx="3">
                  <c:v>127.93201826999902</c:v>
                </c:pt>
              </c:numCache>
            </c:numRef>
          </c:val>
        </c:ser>
        <c:hiLowLines/>
        <c:marker val="1"/>
        <c:axId val="95543296"/>
        <c:axId val="95545216"/>
      </c:lineChart>
      <c:catAx>
        <c:axId val="95543296"/>
        <c:scaling>
          <c:orientation val="minMax"/>
        </c:scaling>
        <c:axPos val="b"/>
        <c:title/>
        <c:numFmt formatCode="General" sourceLinked="1"/>
        <c:majorTickMark val="none"/>
        <c:tickLblPos val="nextTo"/>
        <c:crossAx val="95545216"/>
        <c:crosses val="autoZero"/>
        <c:auto val="1"/>
        <c:lblAlgn val="ctr"/>
        <c:lblOffset val="100"/>
      </c:catAx>
      <c:valAx>
        <c:axId val="95545216"/>
        <c:scaling>
          <c:orientation val="minMax"/>
        </c:scaling>
        <c:axPos val="l"/>
        <c:majorGridlines/>
        <c:title/>
        <c:numFmt formatCode="General" sourceLinked="1"/>
        <c:tickLblPos val="nextTo"/>
        <c:crossAx val="95543296"/>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Memory Utilization</a:t>
            </a:r>
          </a:p>
        </c:rich>
      </c:tx>
    </c:title>
    <c:plotArea>
      <c:layout/>
      <c:lineChart>
        <c:grouping val="standard"/>
        <c:ser>
          <c:idx val="0"/>
          <c:order val="0"/>
          <c:tx>
            <c:strRef>
              <c:f>Values!$AV$25</c:f>
              <c:strCache>
                <c:ptCount val="1"/>
                <c:pt idx="0">
                  <c:v>5 engines</c:v>
                </c:pt>
              </c:strCache>
            </c:strRef>
          </c:tx>
          <c:marker>
            <c:symbol val="none"/>
          </c:marker>
          <c:cat>
            <c:numRef>
              <c:f>Values!$AU$26:$AU$40</c:f>
              <c:numCache>
                <c:formatCode>0</c:formatCode>
                <c:ptCount val="15"/>
                <c:pt idx="0">
                  <c:v>1</c:v>
                </c:pt>
                <c:pt idx="1">
                  <c:v>5</c:v>
                </c:pt>
                <c:pt idx="2">
                  <c:v>10</c:v>
                </c:pt>
                <c:pt idx="3">
                  <c:v>15</c:v>
                </c:pt>
                <c:pt idx="4">
                  <c:v>20</c:v>
                </c:pt>
                <c:pt idx="5">
                  <c:v>25</c:v>
                </c:pt>
                <c:pt idx="6">
                  <c:v>30</c:v>
                </c:pt>
                <c:pt idx="7">
                  <c:v>35</c:v>
                </c:pt>
                <c:pt idx="8">
                  <c:v>40</c:v>
                </c:pt>
              </c:numCache>
            </c:numRef>
          </c:cat>
          <c:val>
            <c:numRef>
              <c:f>Values!$AV$26:$AV$40</c:f>
              <c:numCache>
                <c:formatCode>0.000</c:formatCode>
                <c:ptCount val="15"/>
                <c:pt idx="0">
                  <c:v>2.5060199834410817</c:v>
                </c:pt>
                <c:pt idx="1">
                  <c:v>2.5060239668821627</c:v>
                </c:pt>
                <c:pt idx="2">
                  <c:v>2.5060279503232445</c:v>
                </c:pt>
                <c:pt idx="3">
                  <c:v>2.506031933764326</c:v>
                </c:pt>
                <c:pt idx="4">
                  <c:v>2.5060359172054074</c:v>
                </c:pt>
                <c:pt idx="5">
                  <c:v>2.5060399006464893</c:v>
                </c:pt>
                <c:pt idx="6">
                  <c:v>2.5060438840875707</c:v>
                </c:pt>
                <c:pt idx="7">
                  <c:v>2.5060478675286522</c:v>
                </c:pt>
                <c:pt idx="8">
                  <c:v>2.5060518509697336</c:v>
                </c:pt>
              </c:numCache>
            </c:numRef>
          </c:val>
        </c:ser>
        <c:ser>
          <c:idx val="1"/>
          <c:order val="1"/>
          <c:tx>
            <c:strRef>
              <c:f>Values!$AW$25</c:f>
              <c:strCache>
                <c:ptCount val="1"/>
                <c:pt idx="0">
                  <c:v>3 engines</c:v>
                </c:pt>
              </c:strCache>
            </c:strRef>
          </c:tx>
          <c:marker>
            <c:symbol val="none"/>
          </c:marker>
          <c:cat>
            <c:numRef>
              <c:f>Values!$AU$26:$AU$40</c:f>
              <c:numCache>
                <c:formatCode>0</c:formatCode>
                <c:ptCount val="15"/>
                <c:pt idx="0">
                  <c:v>1</c:v>
                </c:pt>
                <c:pt idx="1">
                  <c:v>5</c:v>
                </c:pt>
                <c:pt idx="2">
                  <c:v>10</c:v>
                </c:pt>
                <c:pt idx="3">
                  <c:v>15</c:v>
                </c:pt>
                <c:pt idx="4">
                  <c:v>20</c:v>
                </c:pt>
                <c:pt idx="5">
                  <c:v>25</c:v>
                </c:pt>
                <c:pt idx="6">
                  <c:v>30</c:v>
                </c:pt>
                <c:pt idx="7">
                  <c:v>35</c:v>
                </c:pt>
                <c:pt idx="8">
                  <c:v>40</c:v>
                </c:pt>
              </c:numCache>
            </c:numRef>
          </c:cat>
          <c:val>
            <c:numRef>
              <c:f>Values!$AW$26:$AW$40</c:f>
              <c:numCache>
                <c:formatCode>0.000</c:formatCode>
                <c:ptCount val="15"/>
                <c:pt idx="0">
                  <c:v>2.1224072797368034</c:v>
                </c:pt>
                <c:pt idx="1">
                  <c:v>2.1224105594736069</c:v>
                </c:pt>
                <c:pt idx="2">
                  <c:v>2.1224138392104108</c:v>
                </c:pt>
                <c:pt idx="3">
                  <c:v>2.1224171189472143</c:v>
                </c:pt>
                <c:pt idx="4">
                  <c:v>2.1224203986840178</c:v>
                </c:pt>
                <c:pt idx="5">
                  <c:v>2.1224236784208212</c:v>
                </c:pt>
                <c:pt idx="6">
                  <c:v>2.1224269581576252</c:v>
                </c:pt>
                <c:pt idx="7">
                  <c:v>2.1224302378944286</c:v>
                </c:pt>
                <c:pt idx="8">
                  <c:v>2.1224335176312321</c:v>
                </c:pt>
              </c:numCache>
            </c:numRef>
          </c:val>
        </c:ser>
        <c:ser>
          <c:idx val="2"/>
          <c:order val="2"/>
          <c:tx>
            <c:strRef>
              <c:f>Values!$AX$25</c:f>
              <c:strCache>
                <c:ptCount val="1"/>
                <c:pt idx="0">
                  <c:v>1 engine</c:v>
                </c:pt>
              </c:strCache>
            </c:strRef>
          </c:tx>
          <c:marker>
            <c:symbol val="none"/>
          </c:marker>
          <c:cat>
            <c:numRef>
              <c:f>Values!$AU$26:$AU$40</c:f>
              <c:numCache>
                <c:formatCode>0</c:formatCode>
                <c:ptCount val="15"/>
                <c:pt idx="0">
                  <c:v>1</c:v>
                </c:pt>
                <c:pt idx="1">
                  <c:v>5</c:v>
                </c:pt>
                <c:pt idx="2">
                  <c:v>10</c:v>
                </c:pt>
                <c:pt idx="3">
                  <c:v>15</c:v>
                </c:pt>
                <c:pt idx="4">
                  <c:v>20</c:v>
                </c:pt>
                <c:pt idx="5">
                  <c:v>25</c:v>
                </c:pt>
                <c:pt idx="6">
                  <c:v>30</c:v>
                </c:pt>
                <c:pt idx="7">
                  <c:v>35</c:v>
                </c:pt>
                <c:pt idx="8">
                  <c:v>40</c:v>
                </c:pt>
              </c:numCache>
            </c:numRef>
          </c:cat>
          <c:val>
            <c:numRef>
              <c:f>Values!$AX$26:$AX$40</c:f>
              <c:numCache>
                <c:formatCode>0.000</c:formatCode>
                <c:ptCount val="15"/>
                <c:pt idx="0">
                  <c:v>1.9001574096211167</c:v>
                </c:pt>
                <c:pt idx="1">
                  <c:v>1.9001588192422332</c:v>
                </c:pt>
                <c:pt idx="2">
                  <c:v>1.9001602288633499</c:v>
                </c:pt>
                <c:pt idx="3">
                  <c:v>1.9001616384844664</c:v>
                </c:pt>
                <c:pt idx="4">
                  <c:v>1.9001630481055829</c:v>
                </c:pt>
                <c:pt idx="5">
                  <c:v>1.9001644577266992</c:v>
                </c:pt>
                <c:pt idx="6">
                  <c:v>1.9001658673478159</c:v>
                </c:pt>
                <c:pt idx="7">
                  <c:v>1.9001672769689324</c:v>
                </c:pt>
                <c:pt idx="8">
                  <c:v>1.9001686865900489</c:v>
                </c:pt>
              </c:numCache>
            </c:numRef>
          </c:val>
        </c:ser>
        <c:ser>
          <c:idx val="3"/>
          <c:order val="3"/>
          <c:tx>
            <c:strRef>
              <c:f>Values!$AY$25</c:f>
              <c:strCache>
                <c:ptCount val="1"/>
                <c:pt idx="0">
                  <c:v>Exchange only</c:v>
                </c:pt>
              </c:strCache>
            </c:strRef>
          </c:tx>
          <c:marker>
            <c:symbol val="none"/>
          </c:marker>
          <c:cat>
            <c:numRef>
              <c:f>Values!$AU$26:$AU$40</c:f>
              <c:numCache>
                <c:formatCode>0</c:formatCode>
                <c:ptCount val="15"/>
                <c:pt idx="0">
                  <c:v>1</c:v>
                </c:pt>
                <c:pt idx="1">
                  <c:v>5</c:v>
                </c:pt>
                <c:pt idx="2">
                  <c:v>10</c:v>
                </c:pt>
                <c:pt idx="3">
                  <c:v>15</c:v>
                </c:pt>
                <c:pt idx="4">
                  <c:v>20</c:v>
                </c:pt>
                <c:pt idx="5">
                  <c:v>25</c:v>
                </c:pt>
                <c:pt idx="6">
                  <c:v>30</c:v>
                </c:pt>
                <c:pt idx="7">
                  <c:v>35</c:v>
                </c:pt>
                <c:pt idx="8">
                  <c:v>40</c:v>
                </c:pt>
              </c:numCache>
            </c:numRef>
          </c:cat>
          <c:val>
            <c:numRef>
              <c:f>Values!$AY$26:$AY$40</c:f>
              <c:numCache>
                <c:formatCode>0.000</c:formatCode>
                <c:ptCount val="15"/>
                <c:pt idx="0">
                  <c:v>1.535257792965196</c:v>
                </c:pt>
                <c:pt idx="1">
                  <c:v>1.535887585930392</c:v>
                </c:pt>
                <c:pt idx="2">
                  <c:v>1.5365173788955879</c:v>
                </c:pt>
                <c:pt idx="3">
                  <c:v>1.5371471718607839</c:v>
                </c:pt>
                <c:pt idx="4">
                  <c:v>1.5377769648259798</c:v>
                </c:pt>
                <c:pt idx="5">
                  <c:v>1.5384067577911755</c:v>
                </c:pt>
                <c:pt idx="6">
                  <c:v>1.5390365507563717</c:v>
                </c:pt>
                <c:pt idx="7">
                  <c:v>1.5396663437215676</c:v>
                </c:pt>
                <c:pt idx="8">
                  <c:v>1.5402961366867636</c:v>
                </c:pt>
              </c:numCache>
            </c:numRef>
          </c:val>
        </c:ser>
        <c:hiLowLines/>
        <c:marker val="1"/>
        <c:axId val="95646080"/>
        <c:axId val="95648000"/>
      </c:lineChart>
      <c:catAx>
        <c:axId val="95646080"/>
        <c:scaling>
          <c:orientation val="minMax"/>
        </c:scaling>
        <c:axPos val="b"/>
        <c:title>
          <c:tx>
            <c:rich>
              <a:bodyPr/>
              <a:lstStyle/>
              <a:p>
                <a:pPr>
                  <a:defRPr/>
                </a:pPr>
                <a:r>
                  <a:rPr lang="en-US"/>
                  <a:t>Number of Mailboxes</a:t>
                </a:r>
              </a:p>
            </c:rich>
          </c:tx>
        </c:title>
        <c:numFmt formatCode="0" sourceLinked="1"/>
        <c:majorTickMark val="none"/>
        <c:tickLblPos val="nextTo"/>
        <c:crossAx val="95648000"/>
        <c:crosses val="autoZero"/>
        <c:auto val="1"/>
        <c:lblAlgn val="ctr"/>
        <c:lblOffset val="100"/>
      </c:catAx>
      <c:valAx>
        <c:axId val="95648000"/>
        <c:scaling>
          <c:orientation val="minMax"/>
        </c:scaling>
        <c:axPos val="l"/>
        <c:majorGridlines/>
        <c:title>
          <c:tx>
            <c:rich>
              <a:bodyPr/>
              <a:lstStyle/>
              <a:p>
                <a:pPr>
                  <a:defRPr/>
                </a:pPr>
                <a:r>
                  <a:rPr lang="en-US"/>
                  <a:t>Memory Utilization (GB)</a:t>
                </a:r>
              </a:p>
            </c:rich>
          </c:tx>
        </c:title>
        <c:numFmt formatCode="0.000" sourceLinked="1"/>
        <c:tickLblPos val="nextTo"/>
        <c:crossAx val="95646080"/>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 Role Server: Memory Utilization</a:t>
            </a:r>
          </a:p>
        </c:rich>
      </c:tx>
    </c:title>
    <c:plotArea>
      <c:layout/>
      <c:lineChart>
        <c:grouping val="standard"/>
        <c:ser>
          <c:idx val="0"/>
          <c:order val="0"/>
          <c:tx>
            <c:strRef>
              <c:f>Values!$BF$25</c:f>
              <c:strCache>
                <c:ptCount val="1"/>
                <c:pt idx="0">
                  <c:v>5 engines</c:v>
                </c:pt>
              </c:strCache>
            </c:strRef>
          </c:tx>
          <c:marker>
            <c:symbol val="none"/>
          </c:marker>
          <c:cat>
            <c:numRef>
              <c:f>Values!$BE$26:$BE$28</c:f>
              <c:numCache>
                <c:formatCode>General</c:formatCode>
                <c:ptCount val="3"/>
                <c:pt idx="0">
                  <c:v>2000</c:v>
                </c:pt>
                <c:pt idx="1">
                  <c:v>4000</c:v>
                </c:pt>
                <c:pt idx="2">
                  <c:v>6000</c:v>
                </c:pt>
              </c:numCache>
            </c:numRef>
          </c:cat>
          <c:val>
            <c:numRef>
              <c:f>Values!$BF$26:$BF$28</c:f>
              <c:numCache>
                <c:formatCode>0</c:formatCode>
                <c:ptCount val="3"/>
                <c:pt idx="0">
                  <c:v>8.7330427042643244</c:v>
                </c:pt>
                <c:pt idx="1">
                  <c:v>12.846196085611977</c:v>
                </c:pt>
                <c:pt idx="2">
                  <c:v>16.959349466959633</c:v>
                </c:pt>
              </c:numCache>
            </c:numRef>
          </c:val>
        </c:ser>
        <c:ser>
          <c:idx val="1"/>
          <c:order val="1"/>
          <c:tx>
            <c:strRef>
              <c:f>Values!$BG$25</c:f>
              <c:strCache>
                <c:ptCount val="1"/>
                <c:pt idx="0">
                  <c:v>3 engines</c:v>
                </c:pt>
              </c:strCache>
            </c:strRef>
          </c:tx>
          <c:marker>
            <c:symbol val="none"/>
          </c:marker>
          <c:cat>
            <c:numRef>
              <c:f>Values!$BE$26:$BE$28</c:f>
              <c:numCache>
                <c:formatCode>General</c:formatCode>
                <c:ptCount val="3"/>
                <c:pt idx="0">
                  <c:v>2000</c:v>
                </c:pt>
                <c:pt idx="1">
                  <c:v>4000</c:v>
                </c:pt>
                <c:pt idx="2">
                  <c:v>6000</c:v>
                </c:pt>
              </c:numCache>
            </c:numRef>
          </c:cat>
          <c:val>
            <c:numRef>
              <c:f>Values!$BG$26:$BG$28</c:f>
              <c:numCache>
                <c:formatCode>0</c:formatCode>
                <c:ptCount val="3"/>
                <c:pt idx="0">
                  <c:v>7.2974698893229162</c:v>
                </c:pt>
                <c:pt idx="1">
                  <c:v>11.405519205729165</c:v>
                </c:pt>
                <c:pt idx="2">
                  <c:v>15.513568522135415</c:v>
                </c:pt>
              </c:numCache>
            </c:numRef>
          </c:val>
        </c:ser>
        <c:ser>
          <c:idx val="2"/>
          <c:order val="2"/>
          <c:tx>
            <c:strRef>
              <c:f>Values!$BH$25</c:f>
              <c:strCache>
                <c:ptCount val="1"/>
                <c:pt idx="0">
                  <c:v>1 engine</c:v>
                </c:pt>
              </c:strCache>
            </c:strRef>
          </c:tx>
          <c:marker>
            <c:symbol val="none"/>
          </c:marker>
          <c:cat>
            <c:numRef>
              <c:f>Values!$BE$26:$BE$28</c:f>
              <c:numCache>
                <c:formatCode>General</c:formatCode>
                <c:ptCount val="3"/>
                <c:pt idx="0">
                  <c:v>2000</c:v>
                </c:pt>
                <c:pt idx="1">
                  <c:v>4000</c:v>
                </c:pt>
                <c:pt idx="2">
                  <c:v>6000</c:v>
                </c:pt>
              </c:numCache>
            </c:numRef>
          </c:cat>
          <c:val>
            <c:numRef>
              <c:f>Values!$BH$26:$BH$28</c:f>
              <c:numCache>
                <c:formatCode>0</c:formatCode>
                <c:ptCount val="3"/>
                <c:pt idx="0">
                  <c:v>6.8500861002604161</c:v>
                </c:pt>
                <c:pt idx="1">
                  <c:v>10.956782877604169</c:v>
                </c:pt>
                <c:pt idx="2">
                  <c:v>15.063479654947919</c:v>
                </c:pt>
              </c:numCache>
            </c:numRef>
          </c:val>
        </c:ser>
        <c:ser>
          <c:idx val="3"/>
          <c:order val="3"/>
          <c:tx>
            <c:strRef>
              <c:f>Values!$BI$25</c:f>
              <c:strCache>
                <c:ptCount val="1"/>
                <c:pt idx="0">
                  <c:v>Exchange only</c:v>
                </c:pt>
              </c:strCache>
            </c:strRef>
          </c:tx>
          <c:marker>
            <c:symbol val="none"/>
          </c:marker>
          <c:cat>
            <c:numRef>
              <c:f>Values!$BE$26:$BE$28</c:f>
              <c:numCache>
                <c:formatCode>General</c:formatCode>
                <c:ptCount val="3"/>
                <c:pt idx="0">
                  <c:v>2000</c:v>
                </c:pt>
                <c:pt idx="1">
                  <c:v>4000</c:v>
                </c:pt>
                <c:pt idx="2">
                  <c:v>6000</c:v>
                </c:pt>
              </c:numCache>
            </c:numRef>
          </c:cat>
          <c:val>
            <c:numRef>
              <c:f>Values!$BI$26:$BI$28</c:f>
              <c:numCache>
                <c:formatCode>0</c:formatCode>
                <c:ptCount val="3"/>
                <c:pt idx="0">
                  <c:v>6.1612955729166679</c:v>
                </c:pt>
                <c:pt idx="1">
                  <c:v>10.262858072916668</c:v>
                </c:pt>
                <c:pt idx="2">
                  <c:v>14.364420572916664</c:v>
                </c:pt>
              </c:numCache>
            </c:numRef>
          </c:val>
        </c:ser>
        <c:hiLowLines/>
        <c:marker val="1"/>
        <c:axId val="102958208"/>
        <c:axId val="102960128"/>
      </c:lineChart>
      <c:catAx>
        <c:axId val="102958208"/>
        <c:scaling>
          <c:orientation val="minMax"/>
        </c:scaling>
        <c:axPos val="b"/>
        <c:title>
          <c:tx>
            <c:rich>
              <a:bodyPr/>
              <a:lstStyle/>
              <a:p>
                <a:pPr>
                  <a:defRPr/>
                </a:pPr>
                <a:r>
                  <a:rPr lang="en-US"/>
                  <a:t>Number of Mailboxes</a:t>
                </a:r>
              </a:p>
            </c:rich>
          </c:tx>
        </c:title>
        <c:numFmt formatCode="General" sourceLinked="1"/>
        <c:majorTickMark val="none"/>
        <c:tickLblPos val="nextTo"/>
        <c:crossAx val="102960128"/>
        <c:crosses val="autoZero"/>
        <c:auto val="1"/>
        <c:lblAlgn val="ctr"/>
        <c:lblOffset val="100"/>
      </c:catAx>
      <c:valAx>
        <c:axId val="102960128"/>
        <c:scaling>
          <c:orientation val="minMax"/>
        </c:scaling>
        <c:axPos val="l"/>
        <c:majorGridlines/>
        <c:title>
          <c:tx>
            <c:rich>
              <a:bodyPr/>
              <a:lstStyle/>
              <a:p>
                <a:pPr>
                  <a:defRPr/>
                </a:pPr>
                <a:r>
                  <a:rPr lang="en-US"/>
                  <a:t>Memory Utilization (GB)</a:t>
                </a:r>
              </a:p>
            </c:rich>
          </c:tx>
        </c:title>
        <c:numFmt formatCode="0" sourceLinked="1"/>
        <c:tickLblPos val="nextTo"/>
        <c:crossAx val="102958208"/>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Hub Server: Memory Utilization</a:t>
            </a:r>
          </a:p>
        </c:rich>
      </c:tx>
    </c:title>
    <c:plotArea>
      <c:layout/>
      <c:lineChart>
        <c:grouping val="standard"/>
        <c:ser>
          <c:idx val="0"/>
          <c:order val="0"/>
          <c:tx>
            <c:strRef>
              <c:f>Values!$BP$25</c:f>
              <c:strCache>
                <c:ptCount val="1"/>
                <c:pt idx="0">
                  <c:v>5 engines</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Values!$BP$26:$BP$40</c:f>
              <c:numCache>
                <c:formatCode>General</c:formatCode>
                <c:ptCount val="15"/>
                <c:pt idx="0">
                  <c:v>2.2146038574218752</c:v>
                </c:pt>
                <c:pt idx="1">
                  <c:v>2.3250488281249999</c:v>
                </c:pt>
                <c:pt idx="2">
                  <c:v>2.4354937988281247</c:v>
                </c:pt>
                <c:pt idx="3">
                  <c:v>2.5459387695312499</c:v>
                </c:pt>
                <c:pt idx="4">
                  <c:v>2.6563837402343751</c:v>
                </c:pt>
                <c:pt idx="5">
                  <c:v>2.7668287109375003</c:v>
                </c:pt>
                <c:pt idx="6">
                  <c:v>2.8772736816406246</c:v>
                </c:pt>
                <c:pt idx="7">
                  <c:v>2.9877186523437498</c:v>
                </c:pt>
                <c:pt idx="8">
                  <c:v>3.098163623046875</c:v>
                </c:pt>
                <c:pt idx="9">
                  <c:v>3.2086085937499997</c:v>
                </c:pt>
                <c:pt idx="10">
                  <c:v>3.3190535644531245</c:v>
                </c:pt>
                <c:pt idx="11">
                  <c:v>3.4294985351562497</c:v>
                </c:pt>
                <c:pt idx="12">
                  <c:v>3.5399435058593749</c:v>
                </c:pt>
                <c:pt idx="13">
                  <c:v>3.6503884765624997</c:v>
                </c:pt>
                <c:pt idx="14">
                  <c:v>3.760833447265624</c:v>
                </c:pt>
              </c:numCache>
            </c:numRef>
          </c:val>
        </c:ser>
        <c:ser>
          <c:idx val="1"/>
          <c:order val="1"/>
          <c:tx>
            <c:strRef>
              <c:f>Values!$BQ$25</c:f>
              <c:strCache>
                <c:ptCount val="1"/>
                <c:pt idx="0">
                  <c:v>3 engines</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Values!$BQ$26:$BQ$40</c:f>
              <c:numCache>
                <c:formatCode>General</c:formatCode>
                <c:ptCount val="15"/>
                <c:pt idx="0">
                  <c:v>1.7423199218750001</c:v>
                </c:pt>
                <c:pt idx="1">
                  <c:v>1.81447265625</c:v>
                </c:pt>
                <c:pt idx="2">
                  <c:v>1.8866253906250001</c:v>
                </c:pt>
                <c:pt idx="3">
                  <c:v>1.9587781250000003</c:v>
                </c:pt>
                <c:pt idx="4">
                  <c:v>2.0309308593750002</c:v>
                </c:pt>
                <c:pt idx="5">
                  <c:v>2.1030835937500005</c:v>
                </c:pt>
                <c:pt idx="6">
                  <c:v>2.1752363281250009</c:v>
                </c:pt>
                <c:pt idx="7">
                  <c:v>2.2473890625000008</c:v>
                </c:pt>
                <c:pt idx="8">
                  <c:v>2.3195417968750007</c:v>
                </c:pt>
                <c:pt idx="9">
                  <c:v>2.3916945312500011</c:v>
                </c:pt>
                <c:pt idx="10">
                  <c:v>2.4638472656250014</c:v>
                </c:pt>
                <c:pt idx="11">
                  <c:v>2.5360000000000014</c:v>
                </c:pt>
                <c:pt idx="12">
                  <c:v>2.6081527343750013</c:v>
                </c:pt>
                <c:pt idx="13">
                  <c:v>2.6803054687500012</c:v>
                </c:pt>
                <c:pt idx="14">
                  <c:v>2.752458203125002</c:v>
                </c:pt>
              </c:numCache>
            </c:numRef>
          </c:val>
        </c:ser>
        <c:ser>
          <c:idx val="2"/>
          <c:order val="2"/>
          <c:tx>
            <c:strRef>
              <c:f>Values!$BR$25</c:f>
              <c:strCache>
                <c:ptCount val="1"/>
                <c:pt idx="0">
                  <c:v>1 engine</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Values!$BR$26:$BR$40</c:f>
              <c:numCache>
                <c:formatCode>General</c:formatCode>
                <c:ptCount val="15"/>
                <c:pt idx="0">
                  <c:v>1.59098232421875</c:v>
                </c:pt>
                <c:pt idx="1">
                  <c:v>1.66259765625</c:v>
                </c:pt>
                <c:pt idx="2">
                  <c:v>1.73421298828125</c:v>
                </c:pt>
                <c:pt idx="3">
                  <c:v>1.8058283203125001</c:v>
                </c:pt>
                <c:pt idx="4">
                  <c:v>1.8774436523437501</c:v>
                </c:pt>
                <c:pt idx="5">
                  <c:v>1.9490589843750001</c:v>
                </c:pt>
                <c:pt idx="6">
                  <c:v>2.0206743164062502</c:v>
                </c:pt>
                <c:pt idx="7">
                  <c:v>2.0922896484375002</c:v>
                </c:pt>
                <c:pt idx="8">
                  <c:v>2.1639049804687502</c:v>
                </c:pt>
                <c:pt idx="9">
                  <c:v>2.2355203125000003</c:v>
                </c:pt>
                <c:pt idx="10">
                  <c:v>2.3071356445312503</c:v>
                </c:pt>
                <c:pt idx="11">
                  <c:v>2.3787509765625003</c:v>
                </c:pt>
                <c:pt idx="12">
                  <c:v>2.4503663085937504</c:v>
                </c:pt>
                <c:pt idx="13">
                  <c:v>2.5219816406250004</c:v>
                </c:pt>
                <c:pt idx="14">
                  <c:v>2.5935969726562509</c:v>
                </c:pt>
              </c:numCache>
            </c:numRef>
          </c:val>
        </c:ser>
        <c:ser>
          <c:idx val="3"/>
          <c:order val="3"/>
          <c:tx>
            <c:strRef>
              <c:f>Values!$BS$25</c:f>
              <c:strCache>
                <c:ptCount val="1"/>
                <c:pt idx="0">
                  <c:v>Exchange only</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Values!$BS$26:$BS$40</c:f>
              <c:numCache>
                <c:formatCode>General</c:formatCode>
                <c:ptCount val="15"/>
                <c:pt idx="0">
                  <c:v>1.3540576171875001</c:v>
                </c:pt>
                <c:pt idx="1">
                  <c:v>1.4240820312500002</c:v>
                </c:pt>
                <c:pt idx="2">
                  <c:v>1.4941064453125004</c:v>
                </c:pt>
                <c:pt idx="3">
                  <c:v>1.5641308593750005</c:v>
                </c:pt>
                <c:pt idx="4">
                  <c:v>1.6341552734375007</c:v>
                </c:pt>
                <c:pt idx="5">
                  <c:v>1.7041796875000008</c:v>
                </c:pt>
                <c:pt idx="6">
                  <c:v>1.7742041015625007</c:v>
                </c:pt>
                <c:pt idx="7">
                  <c:v>1.8442285156250011</c:v>
                </c:pt>
                <c:pt idx="8">
                  <c:v>1.914252929687501</c:v>
                </c:pt>
                <c:pt idx="9">
                  <c:v>1.9842773437500014</c:v>
                </c:pt>
                <c:pt idx="10">
                  <c:v>2.0543017578125014</c:v>
                </c:pt>
                <c:pt idx="11">
                  <c:v>2.1243261718750017</c:v>
                </c:pt>
                <c:pt idx="12">
                  <c:v>2.1943505859375021</c:v>
                </c:pt>
                <c:pt idx="13">
                  <c:v>2.264375000000002</c:v>
                </c:pt>
                <c:pt idx="14">
                  <c:v>2.334399414062502</c:v>
                </c:pt>
              </c:numCache>
            </c:numRef>
          </c:val>
        </c:ser>
        <c:hiLowLines/>
        <c:marker val="1"/>
        <c:axId val="103012608"/>
        <c:axId val="103018880"/>
      </c:lineChart>
      <c:catAx>
        <c:axId val="103012608"/>
        <c:scaling>
          <c:orientation val="minMax"/>
        </c:scaling>
        <c:axPos val="b"/>
        <c:title>
          <c:tx>
            <c:rich>
              <a:bodyPr/>
              <a:lstStyle/>
              <a:p>
                <a:pPr>
                  <a:defRPr/>
                </a:pPr>
                <a:r>
                  <a:rPr lang="en-US"/>
                  <a:t>Number of Mailboxes</a:t>
                </a:r>
              </a:p>
            </c:rich>
          </c:tx>
        </c:title>
        <c:numFmt formatCode="General" sourceLinked="1"/>
        <c:majorTickMark val="none"/>
        <c:tickLblPos val="nextTo"/>
        <c:crossAx val="103018880"/>
        <c:crosses val="autoZero"/>
        <c:auto val="1"/>
        <c:lblAlgn val="ctr"/>
        <c:lblOffset val="100"/>
      </c:catAx>
      <c:valAx>
        <c:axId val="103018880"/>
        <c:scaling>
          <c:orientation val="minMax"/>
        </c:scaling>
        <c:axPos val="l"/>
        <c:majorGridlines/>
        <c:title>
          <c:tx>
            <c:rich>
              <a:bodyPr/>
              <a:lstStyle/>
              <a:p>
                <a:pPr>
                  <a:defRPr/>
                </a:pPr>
                <a:r>
                  <a:rPr lang="en-US"/>
                  <a:t>Memory</a:t>
                </a:r>
                <a:r>
                  <a:rPr lang="en-US" baseline="0"/>
                  <a:t> Utilization (GB)</a:t>
                </a:r>
                <a:endParaRPr lang="en-US"/>
              </a:p>
            </c:rich>
          </c:tx>
        </c:title>
        <c:numFmt formatCode="General" sourceLinked="1"/>
        <c:tickLblPos val="nextTo"/>
        <c:crossAx val="103012608"/>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Mailbox Server:</a:t>
            </a:r>
            <a:r>
              <a:rPr lang="en-US" baseline="0"/>
              <a:t> Memory Utilization</a:t>
            </a:r>
            <a:endParaRPr lang="en-US"/>
          </a:p>
        </c:rich>
      </c:tx>
    </c:title>
    <c:plotArea>
      <c:layout/>
      <c:lineChart>
        <c:grouping val="standard"/>
        <c:ser>
          <c:idx val="0"/>
          <c:order val="0"/>
          <c:tx>
            <c:strRef>
              <c:f>Values!$BZ$25</c:f>
              <c:strCache>
                <c:ptCount val="1"/>
                <c:pt idx="0">
                  <c:v>5 engines</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Values!$BZ$26:$BZ$30</c:f>
              <c:numCache>
                <c:formatCode>General</c:formatCode>
                <c:ptCount val="5"/>
                <c:pt idx="0">
                  <c:v>5.1086172949218751</c:v>
                </c:pt>
                <c:pt idx="1">
                  <c:v>8.526586044921876</c:v>
                </c:pt>
                <c:pt idx="2">
                  <c:v>11.944554794921876</c:v>
                </c:pt>
                <c:pt idx="3">
                  <c:v>15.362523544921876</c:v>
                </c:pt>
                <c:pt idx="4">
                  <c:v>18.780492294921874</c:v>
                </c:pt>
              </c:numCache>
            </c:numRef>
          </c:val>
        </c:ser>
        <c:ser>
          <c:idx val="1"/>
          <c:order val="1"/>
          <c:tx>
            <c:strRef>
              <c:f>Values!$CA$25</c:f>
              <c:strCache>
                <c:ptCount val="1"/>
                <c:pt idx="0">
                  <c:v>3 engines</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Values!$CA$26:$CA$30</c:f>
              <c:numCache>
                <c:formatCode>General</c:formatCode>
                <c:ptCount val="5"/>
                <c:pt idx="0">
                  <c:v>4.7245550390624995</c:v>
                </c:pt>
                <c:pt idx="1">
                  <c:v>8.1425237890625013</c:v>
                </c:pt>
                <c:pt idx="2">
                  <c:v>11.560492539062501</c:v>
                </c:pt>
                <c:pt idx="3">
                  <c:v>14.978461289062501</c:v>
                </c:pt>
                <c:pt idx="4">
                  <c:v>18.396430039062498</c:v>
                </c:pt>
              </c:numCache>
            </c:numRef>
          </c:val>
        </c:ser>
        <c:ser>
          <c:idx val="2"/>
          <c:order val="2"/>
          <c:tx>
            <c:strRef>
              <c:f>Values!$CB$25</c:f>
              <c:strCache>
                <c:ptCount val="1"/>
                <c:pt idx="0">
                  <c:v>1 engine</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Values!$CB$26:$CB$30</c:f>
              <c:numCache>
                <c:formatCode>General</c:formatCode>
                <c:ptCount val="5"/>
                <c:pt idx="0">
                  <c:v>4.6126186914062499</c:v>
                </c:pt>
                <c:pt idx="1">
                  <c:v>8.0305874414062508</c:v>
                </c:pt>
                <c:pt idx="2">
                  <c:v>11.448556191406251</c:v>
                </c:pt>
                <c:pt idx="3">
                  <c:v>14.866524941406251</c:v>
                </c:pt>
                <c:pt idx="4">
                  <c:v>18.284493691406251</c:v>
                </c:pt>
              </c:numCache>
            </c:numRef>
          </c:val>
        </c:ser>
        <c:ser>
          <c:idx val="3"/>
          <c:order val="3"/>
          <c:tx>
            <c:strRef>
              <c:f>Values!$CC$25</c:f>
              <c:strCache>
                <c:ptCount val="1"/>
                <c:pt idx="0">
                  <c:v>Exchange only</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Values!$CC$26:$CC$30</c:f>
              <c:numCache>
                <c:formatCode>General</c:formatCode>
                <c:ptCount val="5"/>
                <c:pt idx="0">
                  <c:v>4.41796875</c:v>
                </c:pt>
                <c:pt idx="1">
                  <c:v>7.8359375</c:v>
                </c:pt>
                <c:pt idx="2">
                  <c:v>11.25390625</c:v>
                </c:pt>
                <c:pt idx="3">
                  <c:v>14.671875</c:v>
                </c:pt>
                <c:pt idx="4">
                  <c:v>18.08984375</c:v>
                </c:pt>
              </c:numCache>
            </c:numRef>
          </c:val>
        </c:ser>
        <c:hiLowLines/>
        <c:marker val="1"/>
        <c:axId val="103590912"/>
        <c:axId val="103601280"/>
      </c:lineChart>
      <c:catAx>
        <c:axId val="103590912"/>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103601280"/>
        <c:crosses val="autoZero"/>
        <c:auto val="1"/>
        <c:lblAlgn val="ctr"/>
        <c:lblOffset val="100"/>
      </c:catAx>
      <c:valAx>
        <c:axId val="103601280"/>
        <c:scaling>
          <c:orientation val="minMax"/>
          <c:min val="4"/>
        </c:scaling>
        <c:axPos val="l"/>
        <c:majorGridlines/>
        <c:title>
          <c:tx>
            <c:rich>
              <a:bodyPr/>
              <a:lstStyle/>
              <a:p>
                <a:pPr>
                  <a:defRPr/>
                </a:pPr>
                <a:r>
                  <a:rPr lang="en-US"/>
                  <a:t>Memory Utilization (GB)</a:t>
                </a:r>
              </a:p>
            </c:rich>
          </c:tx>
        </c:title>
        <c:numFmt formatCode="General" sourceLinked="1"/>
        <c:tickLblPos val="nextTo"/>
        <c:crossAx val="103590912"/>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a:t>
            </a:r>
            <a:r>
              <a:rPr lang="en-US" baseline="0"/>
              <a:t> Memory Utilization</a:t>
            </a:r>
            <a:endParaRPr lang="en-US"/>
          </a:p>
        </c:rich>
      </c:tx>
    </c:title>
    <c:plotArea>
      <c:layout/>
      <c:lineChart>
        <c:grouping val="standard"/>
        <c:ser>
          <c:idx val="0"/>
          <c:order val="0"/>
          <c:tx>
            <c:strRef>
              <c:f>Values!$AV$25</c:f>
              <c:strCache>
                <c:ptCount val="1"/>
                <c:pt idx="0">
                  <c:v>5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Values!$AV$26:$AV$34</c:f>
              <c:numCache>
                <c:formatCode>0.000</c:formatCode>
                <c:ptCount val="9"/>
                <c:pt idx="0">
                  <c:v>2.5060199834410817</c:v>
                </c:pt>
                <c:pt idx="1">
                  <c:v>2.5060239668821627</c:v>
                </c:pt>
                <c:pt idx="2">
                  <c:v>2.5060279503232445</c:v>
                </c:pt>
                <c:pt idx="3">
                  <c:v>2.506031933764326</c:v>
                </c:pt>
                <c:pt idx="4">
                  <c:v>2.5060359172054074</c:v>
                </c:pt>
                <c:pt idx="5">
                  <c:v>2.5060399006464893</c:v>
                </c:pt>
                <c:pt idx="6">
                  <c:v>2.5060438840875707</c:v>
                </c:pt>
                <c:pt idx="7">
                  <c:v>2.5060478675286522</c:v>
                </c:pt>
                <c:pt idx="8">
                  <c:v>2.5060518509697336</c:v>
                </c:pt>
              </c:numCache>
            </c:numRef>
          </c:val>
        </c:ser>
        <c:ser>
          <c:idx val="1"/>
          <c:order val="1"/>
          <c:tx>
            <c:strRef>
              <c:f>Values!$AW$25</c:f>
              <c:strCache>
                <c:ptCount val="1"/>
                <c:pt idx="0">
                  <c:v>3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Values!$AW$26:$AW$34</c:f>
              <c:numCache>
                <c:formatCode>0.000</c:formatCode>
                <c:ptCount val="9"/>
                <c:pt idx="0">
                  <c:v>2.1224072797368034</c:v>
                </c:pt>
                <c:pt idx="1">
                  <c:v>2.1224105594736069</c:v>
                </c:pt>
                <c:pt idx="2">
                  <c:v>2.1224138392104108</c:v>
                </c:pt>
                <c:pt idx="3">
                  <c:v>2.1224171189472143</c:v>
                </c:pt>
                <c:pt idx="4">
                  <c:v>2.1224203986840178</c:v>
                </c:pt>
                <c:pt idx="5">
                  <c:v>2.1224236784208212</c:v>
                </c:pt>
                <c:pt idx="6">
                  <c:v>2.1224269581576252</c:v>
                </c:pt>
                <c:pt idx="7">
                  <c:v>2.1224302378944286</c:v>
                </c:pt>
                <c:pt idx="8">
                  <c:v>2.1224335176312321</c:v>
                </c:pt>
              </c:numCache>
            </c:numRef>
          </c:val>
        </c:ser>
        <c:ser>
          <c:idx val="2"/>
          <c:order val="2"/>
          <c:tx>
            <c:strRef>
              <c:f>Values!$AX$25</c:f>
              <c:strCache>
                <c:ptCount val="1"/>
                <c:pt idx="0">
                  <c:v>1 engine</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Values!$AX$26:$AX$34</c:f>
              <c:numCache>
                <c:formatCode>0.000</c:formatCode>
                <c:ptCount val="9"/>
                <c:pt idx="0">
                  <c:v>1.9001574096211167</c:v>
                </c:pt>
                <c:pt idx="1">
                  <c:v>1.9001588192422332</c:v>
                </c:pt>
                <c:pt idx="2">
                  <c:v>1.9001602288633499</c:v>
                </c:pt>
                <c:pt idx="3">
                  <c:v>1.9001616384844664</c:v>
                </c:pt>
                <c:pt idx="4">
                  <c:v>1.9001630481055829</c:v>
                </c:pt>
                <c:pt idx="5">
                  <c:v>1.9001644577266992</c:v>
                </c:pt>
                <c:pt idx="6">
                  <c:v>1.9001658673478159</c:v>
                </c:pt>
                <c:pt idx="7">
                  <c:v>1.9001672769689324</c:v>
                </c:pt>
                <c:pt idx="8">
                  <c:v>1.9001686865900489</c:v>
                </c:pt>
              </c:numCache>
            </c:numRef>
          </c:val>
        </c:ser>
        <c:ser>
          <c:idx val="3"/>
          <c:order val="3"/>
          <c:tx>
            <c:strRef>
              <c:f>Values!$AY$25</c:f>
              <c:strCache>
                <c:ptCount val="1"/>
                <c:pt idx="0">
                  <c:v>Exchange only</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Values!$AY$26:$AY$34</c:f>
              <c:numCache>
                <c:formatCode>0.000</c:formatCode>
                <c:ptCount val="9"/>
                <c:pt idx="0">
                  <c:v>1.535257792965196</c:v>
                </c:pt>
                <c:pt idx="1">
                  <c:v>1.535887585930392</c:v>
                </c:pt>
                <c:pt idx="2">
                  <c:v>1.5365173788955879</c:v>
                </c:pt>
                <c:pt idx="3">
                  <c:v>1.5371471718607839</c:v>
                </c:pt>
                <c:pt idx="4">
                  <c:v>1.5377769648259798</c:v>
                </c:pt>
                <c:pt idx="5">
                  <c:v>1.5384067577911755</c:v>
                </c:pt>
                <c:pt idx="6">
                  <c:v>1.5390365507563717</c:v>
                </c:pt>
                <c:pt idx="7">
                  <c:v>1.5396663437215676</c:v>
                </c:pt>
                <c:pt idx="8">
                  <c:v>1.5402961366867636</c:v>
                </c:pt>
              </c:numCache>
            </c:numRef>
          </c:val>
        </c:ser>
        <c:hiLowLines/>
        <c:marker val="1"/>
        <c:axId val="109150208"/>
        <c:axId val="109152128"/>
      </c:lineChart>
      <c:catAx>
        <c:axId val="109150208"/>
        <c:scaling>
          <c:orientation val="minMax"/>
        </c:scaling>
        <c:axPos val="b"/>
        <c:minorGridlines/>
        <c:title>
          <c:tx>
            <c:rich>
              <a:bodyPr/>
              <a:lstStyle/>
              <a:p>
                <a:pPr>
                  <a:defRPr/>
                </a:pPr>
                <a:r>
                  <a:rPr lang="en-US"/>
                  <a:t>Message Rate (messages/second)</a:t>
                </a:r>
              </a:p>
            </c:rich>
          </c:tx>
        </c:title>
        <c:numFmt formatCode="0" sourceLinked="1"/>
        <c:majorTickMark val="none"/>
        <c:tickLblPos val="nextTo"/>
        <c:crossAx val="109152128"/>
        <c:crosses val="autoZero"/>
        <c:auto val="1"/>
        <c:lblAlgn val="ctr"/>
        <c:lblOffset val="100"/>
      </c:catAx>
      <c:valAx>
        <c:axId val="109152128"/>
        <c:scaling>
          <c:orientation val="minMax"/>
          <c:min val="1"/>
        </c:scaling>
        <c:axPos val="l"/>
        <c:majorGridlines/>
        <c:title>
          <c:tx>
            <c:rich>
              <a:bodyPr/>
              <a:lstStyle/>
              <a:p>
                <a:pPr>
                  <a:defRPr/>
                </a:pPr>
                <a:r>
                  <a:rPr lang="en-US"/>
                  <a:t>Memory</a:t>
                </a:r>
                <a:r>
                  <a:rPr lang="en-US" baseline="0"/>
                  <a:t> Utilization (GB)</a:t>
                </a:r>
                <a:endParaRPr lang="en-US"/>
              </a:p>
            </c:rich>
          </c:tx>
        </c:title>
        <c:numFmt formatCode="0.0" sourceLinked="0"/>
        <c:tickLblPos val="nextTo"/>
        <c:crossAx val="109150208"/>
        <c:crosses val="autoZero"/>
        <c:crossBetween val="between"/>
      </c:valAx>
    </c:plotArea>
    <c:legend>
      <c:legendPos val="r"/>
    </c:legend>
    <c:plotVisOnly val="1"/>
  </c:chart>
  <c:printSettings>
    <c:headerFooter/>
    <c:pageMargins b="0.75000000000000167" l="0.70000000000000062" r="0.70000000000000062" t="0.75000000000000167"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 Role</a:t>
            </a:r>
            <a:r>
              <a:rPr lang="en-US" baseline="0"/>
              <a:t> Server: CPU Utilization</a:t>
            </a:r>
            <a:endParaRPr lang="en-US"/>
          </a:p>
        </c:rich>
      </c:tx>
    </c:title>
    <c:plotArea>
      <c:layout/>
      <c:lineChart>
        <c:grouping val="standard"/>
        <c:ser>
          <c:idx val="0"/>
          <c:order val="0"/>
          <c:tx>
            <c:strRef>
              <c:f>Values!$AV$64</c:f>
              <c:strCache>
                <c:ptCount val="1"/>
                <c:pt idx="0">
                  <c:v>5 engines (8 scan processes)</c:v>
                </c:pt>
              </c:strCache>
            </c:strRef>
          </c:tx>
          <c:marker>
            <c:symbol val="none"/>
          </c:marker>
          <c:cat>
            <c:numRef>
              <c:f>Values!$AU$65:$AU$67</c:f>
              <c:numCache>
                <c:formatCode>General</c:formatCode>
                <c:ptCount val="3"/>
                <c:pt idx="0">
                  <c:v>2000</c:v>
                </c:pt>
                <c:pt idx="1">
                  <c:v>4000</c:v>
                </c:pt>
                <c:pt idx="2">
                  <c:v>6000</c:v>
                </c:pt>
              </c:numCache>
            </c:numRef>
          </c:cat>
          <c:val>
            <c:numRef>
              <c:f>Values!$AV$65:$AV$67</c:f>
              <c:numCache>
                <c:formatCode>General</c:formatCode>
                <c:ptCount val="3"/>
                <c:pt idx="0">
                  <c:v>41.203180301783853</c:v>
                </c:pt>
                <c:pt idx="1">
                  <c:v>81.803920965862943</c:v>
                </c:pt>
                <c:pt idx="2">
                  <c:v>122.40466162994204</c:v>
                </c:pt>
              </c:numCache>
            </c:numRef>
          </c:val>
        </c:ser>
        <c:ser>
          <c:idx val="1"/>
          <c:order val="1"/>
          <c:tx>
            <c:strRef>
              <c:f>Values!$AW$64</c:f>
              <c:strCache>
                <c:ptCount val="1"/>
                <c:pt idx="0">
                  <c:v>3 engines (8 scan processes)</c:v>
                </c:pt>
              </c:strCache>
            </c:strRef>
          </c:tx>
          <c:marker>
            <c:symbol val="none"/>
          </c:marker>
          <c:cat>
            <c:numRef>
              <c:f>Values!$AU$65:$AU$67</c:f>
              <c:numCache>
                <c:formatCode>General</c:formatCode>
                <c:ptCount val="3"/>
                <c:pt idx="0">
                  <c:v>2000</c:v>
                </c:pt>
                <c:pt idx="1">
                  <c:v>4000</c:v>
                </c:pt>
                <c:pt idx="2">
                  <c:v>6000</c:v>
                </c:pt>
              </c:numCache>
            </c:numRef>
          </c:cat>
          <c:val>
            <c:numRef>
              <c:f>Values!$AW$65:$AW$67</c:f>
              <c:numCache>
                <c:formatCode>General</c:formatCode>
                <c:ptCount val="3"/>
                <c:pt idx="0">
                  <c:v>39.530535325870595</c:v>
                </c:pt>
                <c:pt idx="1">
                  <c:v>78.263051110383387</c:v>
                </c:pt>
                <c:pt idx="2">
                  <c:v>116.99556689489617</c:v>
                </c:pt>
              </c:numCache>
            </c:numRef>
          </c:val>
        </c:ser>
        <c:ser>
          <c:idx val="2"/>
          <c:order val="2"/>
          <c:tx>
            <c:strRef>
              <c:f>Values!$AX$64</c:f>
              <c:strCache>
                <c:ptCount val="1"/>
                <c:pt idx="0">
                  <c:v>1 engine (8 scan processes)</c:v>
                </c:pt>
              </c:strCache>
            </c:strRef>
          </c:tx>
          <c:marker>
            <c:symbol val="none"/>
          </c:marker>
          <c:cat>
            <c:numRef>
              <c:f>Values!$AU$65:$AU$67</c:f>
              <c:numCache>
                <c:formatCode>General</c:formatCode>
                <c:ptCount val="3"/>
                <c:pt idx="0">
                  <c:v>2000</c:v>
                </c:pt>
                <c:pt idx="1">
                  <c:v>4000</c:v>
                </c:pt>
                <c:pt idx="2">
                  <c:v>6000</c:v>
                </c:pt>
              </c:numCache>
            </c:numRef>
          </c:cat>
          <c:val>
            <c:numRef>
              <c:f>Values!$AX$65:$AX$67</c:f>
              <c:numCache>
                <c:formatCode>General</c:formatCode>
                <c:ptCount val="3"/>
                <c:pt idx="0">
                  <c:v>37.789565461210053</c:v>
                </c:pt>
                <c:pt idx="1">
                  <c:v>75.035231922420095</c:v>
                </c:pt>
                <c:pt idx="2">
                  <c:v>112.28089838363016</c:v>
                </c:pt>
              </c:numCache>
            </c:numRef>
          </c:val>
        </c:ser>
        <c:ser>
          <c:idx val="3"/>
          <c:order val="3"/>
          <c:tx>
            <c:strRef>
              <c:f>Values!$AY$64</c:f>
              <c:strCache>
                <c:ptCount val="1"/>
                <c:pt idx="0">
                  <c:v>5 engines (4 scan processes)</c:v>
                </c:pt>
              </c:strCache>
            </c:strRef>
          </c:tx>
          <c:marker>
            <c:symbol val="none"/>
          </c:marker>
          <c:cat>
            <c:numRef>
              <c:f>Values!$AU$65:$AU$67</c:f>
              <c:numCache>
                <c:formatCode>General</c:formatCode>
                <c:ptCount val="3"/>
                <c:pt idx="0">
                  <c:v>2000</c:v>
                </c:pt>
                <c:pt idx="1">
                  <c:v>4000</c:v>
                </c:pt>
                <c:pt idx="2">
                  <c:v>6000</c:v>
                </c:pt>
              </c:numCache>
            </c:numRef>
          </c:cat>
          <c:val>
            <c:numRef>
              <c:f>Values!$AY$65:$AY$67</c:f>
              <c:numCache>
                <c:formatCode>General</c:formatCode>
                <c:ptCount val="3"/>
                <c:pt idx="0">
                  <c:v>40.863947683432272</c:v>
                </c:pt>
                <c:pt idx="1">
                  <c:v>81.564846366864543</c:v>
                </c:pt>
                <c:pt idx="2">
                  <c:v>122.2657450502968</c:v>
                </c:pt>
              </c:numCache>
            </c:numRef>
          </c:val>
        </c:ser>
        <c:ser>
          <c:idx val="4"/>
          <c:order val="4"/>
          <c:tx>
            <c:strRef>
              <c:f>Values!$AZ$64</c:f>
              <c:strCache>
                <c:ptCount val="1"/>
                <c:pt idx="0">
                  <c:v>3 engines (4 scan processes)</c:v>
                </c:pt>
              </c:strCache>
            </c:strRef>
          </c:tx>
          <c:marker>
            <c:symbol val="none"/>
          </c:marker>
          <c:cat>
            <c:numRef>
              <c:f>Values!$AU$65:$AU$67</c:f>
              <c:numCache>
                <c:formatCode>General</c:formatCode>
                <c:ptCount val="3"/>
                <c:pt idx="0">
                  <c:v>2000</c:v>
                </c:pt>
                <c:pt idx="1">
                  <c:v>4000</c:v>
                </c:pt>
                <c:pt idx="2">
                  <c:v>6000</c:v>
                </c:pt>
              </c:numCache>
            </c:numRef>
          </c:cat>
          <c:val>
            <c:numRef>
              <c:f>Values!$AZ$65:$AZ$67</c:f>
              <c:numCache>
                <c:formatCode>General</c:formatCode>
                <c:ptCount val="3"/>
                <c:pt idx="0">
                  <c:v>39.926579470442036</c:v>
                </c:pt>
                <c:pt idx="1">
                  <c:v>79.678877088923116</c:v>
                </c:pt>
                <c:pt idx="2">
                  <c:v>119.4311747074042</c:v>
                </c:pt>
              </c:numCache>
            </c:numRef>
          </c:val>
        </c:ser>
        <c:ser>
          <c:idx val="5"/>
          <c:order val="5"/>
          <c:tx>
            <c:strRef>
              <c:f>Values!$BA$64</c:f>
              <c:strCache>
                <c:ptCount val="1"/>
                <c:pt idx="0">
                  <c:v>1 engine (4 scan processes)</c:v>
                </c:pt>
              </c:strCache>
            </c:strRef>
          </c:tx>
          <c:marker>
            <c:symbol val="none"/>
          </c:marker>
          <c:cat>
            <c:numRef>
              <c:f>Values!$AU$65:$AU$67</c:f>
              <c:numCache>
                <c:formatCode>General</c:formatCode>
                <c:ptCount val="3"/>
                <c:pt idx="0">
                  <c:v>2000</c:v>
                </c:pt>
                <c:pt idx="1">
                  <c:v>4000</c:v>
                </c:pt>
                <c:pt idx="2">
                  <c:v>6000</c:v>
                </c:pt>
              </c:numCache>
            </c:numRef>
          </c:cat>
          <c:val>
            <c:numRef>
              <c:f>Values!$BA$65:$BA$67</c:f>
              <c:numCache>
                <c:formatCode>General</c:formatCode>
                <c:ptCount val="3"/>
                <c:pt idx="0">
                  <c:v>38.47849918343227</c:v>
                </c:pt>
                <c:pt idx="1">
                  <c:v>76.12459536686454</c:v>
                </c:pt>
                <c:pt idx="2">
                  <c:v>113.77069155029682</c:v>
                </c:pt>
              </c:numCache>
            </c:numRef>
          </c:val>
        </c:ser>
        <c:ser>
          <c:idx val="6"/>
          <c:order val="6"/>
          <c:tx>
            <c:strRef>
              <c:f>Values!$BB$64</c:f>
              <c:strCache>
                <c:ptCount val="1"/>
                <c:pt idx="0">
                  <c:v>Exchange only</c:v>
                </c:pt>
              </c:strCache>
            </c:strRef>
          </c:tx>
          <c:marker>
            <c:symbol val="none"/>
          </c:marker>
          <c:cat>
            <c:numRef>
              <c:f>Values!$AU$65:$AU$67</c:f>
              <c:numCache>
                <c:formatCode>General</c:formatCode>
                <c:ptCount val="3"/>
                <c:pt idx="0">
                  <c:v>2000</c:v>
                </c:pt>
                <c:pt idx="1">
                  <c:v>4000</c:v>
                </c:pt>
                <c:pt idx="2">
                  <c:v>6000</c:v>
                </c:pt>
              </c:numCache>
            </c:numRef>
          </c:cat>
          <c:val>
            <c:numRef>
              <c:f>Values!$BB$65:$BB$67</c:f>
              <c:numCache>
                <c:formatCode>General</c:formatCode>
                <c:ptCount val="3"/>
                <c:pt idx="0">
                  <c:v>32.424164303035525</c:v>
                </c:pt>
                <c:pt idx="1">
                  <c:v>64.26011562535669</c:v>
                </c:pt>
                <c:pt idx="2">
                  <c:v>96.096066947677855</c:v>
                </c:pt>
              </c:numCache>
            </c:numRef>
          </c:val>
        </c:ser>
        <c:hiLowLines/>
        <c:marker val="1"/>
        <c:axId val="115219456"/>
        <c:axId val="115238016"/>
      </c:lineChart>
      <c:catAx>
        <c:axId val="115219456"/>
        <c:scaling>
          <c:orientation val="minMax"/>
        </c:scaling>
        <c:axPos val="b"/>
        <c:title>
          <c:tx>
            <c:rich>
              <a:bodyPr/>
              <a:lstStyle/>
              <a:p>
                <a:pPr>
                  <a:defRPr/>
                </a:pPr>
                <a:r>
                  <a:rPr lang="en-US"/>
                  <a:t>Number</a:t>
                </a:r>
                <a:r>
                  <a:rPr lang="en-US" baseline="0"/>
                  <a:t> of Mailboxes</a:t>
                </a:r>
                <a:endParaRPr lang="en-US"/>
              </a:p>
            </c:rich>
          </c:tx>
        </c:title>
        <c:numFmt formatCode="General" sourceLinked="1"/>
        <c:majorTickMark val="none"/>
        <c:tickLblPos val="nextTo"/>
        <c:crossAx val="115238016"/>
        <c:crosses val="autoZero"/>
        <c:auto val="1"/>
        <c:lblAlgn val="ctr"/>
        <c:lblOffset val="100"/>
      </c:catAx>
      <c:valAx>
        <c:axId val="115238016"/>
        <c:scaling>
          <c:orientation val="minMax"/>
        </c:scaling>
        <c:axPos val="l"/>
        <c:majorGridlines/>
        <c:title>
          <c:tx>
            <c:rich>
              <a:bodyPr/>
              <a:lstStyle/>
              <a:p>
                <a:pPr>
                  <a:defRPr/>
                </a:pPr>
                <a:r>
                  <a:rPr lang="en-US"/>
                  <a:t>%</a:t>
                </a:r>
                <a:r>
                  <a:rPr lang="en-US" baseline="0"/>
                  <a:t> Utilization</a:t>
                </a:r>
                <a:endParaRPr lang="en-US"/>
              </a:p>
            </c:rich>
          </c:tx>
        </c:title>
        <c:numFmt formatCode="General" sourceLinked="1"/>
        <c:tickLblPos val="nextTo"/>
        <c:crossAx val="115219456"/>
        <c:crosses val="autoZero"/>
        <c:crossBetween val="between"/>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a:t>
            </a:r>
            <a:r>
              <a:rPr lang="en-US" baseline="0"/>
              <a:t> Role Server: Memory Utilization</a:t>
            </a:r>
            <a:endParaRPr lang="en-US"/>
          </a:p>
        </c:rich>
      </c:tx>
    </c:title>
    <c:plotArea>
      <c:layout/>
      <c:lineChart>
        <c:grouping val="standard"/>
        <c:ser>
          <c:idx val="0"/>
          <c:order val="0"/>
          <c:tx>
            <c:strRef>
              <c:f>Values!$BF$68</c:f>
              <c:strCache>
                <c:ptCount val="1"/>
                <c:pt idx="0">
                  <c:v>5 engines (8 scan processes)</c:v>
                </c:pt>
              </c:strCache>
            </c:strRef>
          </c:tx>
          <c:marker>
            <c:symbol val="none"/>
          </c:marker>
          <c:cat>
            <c:numRef>
              <c:f>Values!$BE$69:$BE$71</c:f>
              <c:numCache>
                <c:formatCode>General</c:formatCode>
                <c:ptCount val="3"/>
                <c:pt idx="0">
                  <c:v>2000</c:v>
                </c:pt>
                <c:pt idx="1">
                  <c:v>4000</c:v>
                </c:pt>
                <c:pt idx="2">
                  <c:v>6000</c:v>
                </c:pt>
              </c:numCache>
            </c:numRef>
          </c:cat>
          <c:val>
            <c:numRef>
              <c:f>Values!$BF$69:$BF$71</c:f>
              <c:numCache>
                <c:formatCode>General</c:formatCode>
                <c:ptCount val="3"/>
                <c:pt idx="0">
                  <c:v>8.7330427042643244</c:v>
                </c:pt>
                <c:pt idx="1">
                  <c:v>12.846196085611977</c:v>
                </c:pt>
                <c:pt idx="2">
                  <c:v>16.959349466959633</c:v>
                </c:pt>
              </c:numCache>
            </c:numRef>
          </c:val>
        </c:ser>
        <c:ser>
          <c:idx val="1"/>
          <c:order val="1"/>
          <c:tx>
            <c:strRef>
              <c:f>Values!$BG$68</c:f>
              <c:strCache>
                <c:ptCount val="1"/>
                <c:pt idx="0">
                  <c:v>3 engines (8 scan processes)</c:v>
                </c:pt>
              </c:strCache>
            </c:strRef>
          </c:tx>
          <c:marker>
            <c:symbol val="none"/>
          </c:marker>
          <c:cat>
            <c:numRef>
              <c:f>Values!$BE$69:$BE$71</c:f>
              <c:numCache>
                <c:formatCode>General</c:formatCode>
                <c:ptCount val="3"/>
                <c:pt idx="0">
                  <c:v>2000</c:v>
                </c:pt>
                <c:pt idx="1">
                  <c:v>4000</c:v>
                </c:pt>
                <c:pt idx="2">
                  <c:v>6000</c:v>
                </c:pt>
              </c:numCache>
            </c:numRef>
          </c:cat>
          <c:val>
            <c:numRef>
              <c:f>Values!$BG$69:$BG$71</c:f>
              <c:numCache>
                <c:formatCode>General</c:formatCode>
                <c:ptCount val="3"/>
                <c:pt idx="0">
                  <c:v>7.2974698893229162</c:v>
                </c:pt>
                <c:pt idx="1">
                  <c:v>11.405519205729165</c:v>
                </c:pt>
                <c:pt idx="2">
                  <c:v>15.513568522135415</c:v>
                </c:pt>
              </c:numCache>
            </c:numRef>
          </c:val>
        </c:ser>
        <c:ser>
          <c:idx val="2"/>
          <c:order val="2"/>
          <c:tx>
            <c:strRef>
              <c:f>Values!$BH$68</c:f>
              <c:strCache>
                <c:ptCount val="1"/>
                <c:pt idx="0">
                  <c:v>1 engine (8 scan processes)</c:v>
                </c:pt>
              </c:strCache>
            </c:strRef>
          </c:tx>
          <c:marker>
            <c:symbol val="none"/>
          </c:marker>
          <c:cat>
            <c:numRef>
              <c:f>Values!$BE$69:$BE$71</c:f>
              <c:numCache>
                <c:formatCode>General</c:formatCode>
                <c:ptCount val="3"/>
                <c:pt idx="0">
                  <c:v>2000</c:v>
                </c:pt>
                <c:pt idx="1">
                  <c:v>4000</c:v>
                </c:pt>
                <c:pt idx="2">
                  <c:v>6000</c:v>
                </c:pt>
              </c:numCache>
            </c:numRef>
          </c:cat>
          <c:val>
            <c:numRef>
              <c:f>Values!$BH$69:$BH$71</c:f>
              <c:numCache>
                <c:formatCode>General</c:formatCode>
                <c:ptCount val="3"/>
                <c:pt idx="0">
                  <c:v>6.8500861002604161</c:v>
                </c:pt>
                <c:pt idx="1">
                  <c:v>10.956782877604169</c:v>
                </c:pt>
                <c:pt idx="2">
                  <c:v>15.063479654947919</c:v>
                </c:pt>
              </c:numCache>
            </c:numRef>
          </c:val>
        </c:ser>
        <c:ser>
          <c:idx val="3"/>
          <c:order val="3"/>
          <c:tx>
            <c:strRef>
              <c:f>Values!$BI$68</c:f>
              <c:strCache>
                <c:ptCount val="1"/>
                <c:pt idx="0">
                  <c:v>5 engines (4 scan processes)</c:v>
                </c:pt>
              </c:strCache>
            </c:strRef>
          </c:tx>
          <c:marker>
            <c:symbol val="none"/>
          </c:marker>
          <c:cat>
            <c:numRef>
              <c:f>Values!$BE$69:$BE$71</c:f>
              <c:numCache>
                <c:formatCode>General</c:formatCode>
                <c:ptCount val="3"/>
                <c:pt idx="0">
                  <c:v>2000</c:v>
                </c:pt>
                <c:pt idx="1">
                  <c:v>4000</c:v>
                </c:pt>
                <c:pt idx="2">
                  <c:v>6000</c:v>
                </c:pt>
              </c:numCache>
            </c:numRef>
          </c:cat>
          <c:val>
            <c:numRef>
              <c:f>Values!$BI$69:$BI$71</c:f>
              <c:numCache>
                <c:formatCode>General</c:formatCode>
                <c:ptCount val="3"/>
                <c:pt idx="0">
                  <c:v>7.4481510416666676</c:v>
                </c:pt>
                <c:pt idx="1">
                  <c:v>11.556490885416668</c:v>
                </c:pt>
                <c:pt idx="2">
                  <c:v>15.66483072916667</c:v>
                </c:pt>
              </c:numCache>
            </c:numRef>
          </c:val>
        </c:ser>
        <c:ser>
          <c:idx val="4"/>
          <c:order val="4"/>
          <c:tx>
            <c:strRef>
              <c:f>Values!$BJ$68</c:f>
              <c:strCache>
                <c:ptCount val="1"/>
                <c:pt idx="0">
                  <c:v>3 engines (4 scan processes)</c:v>
                </c:pt>
              </c:strCache>
            </c:strRef>
          </c:tx>
          <c:marker>
            <c:symbol val="none"/>
          </c:marker>
          <c:cat>
            <c:numRef>
              <c:f>Values!$BE$69:$BE$71</c:f>
              <c:numCache>
                <c:formatCode>General</c:formatCode>
                <c:ptCount val="3"/>
                <c:pt idx="0">
                  <c:v>2000</c:v>
                </c:pt>
                <c:pt idx="1">
                  <c:v>4000</c:v>
                </c:pt>
                <c:pt idx="2">
                  <c:v>6000</c:v>
                </c:pt>
              </c:numCache>
            </c:numRef>
          </c:cat>
          <c:val>
            <c:numRef>
              <c:f>Values!$BJ$69:$BJ$71</c:f>
              <c:numCache>
                <c:formatCode>General</c:formatCode>
                <c:ptCount val="3"/>
                <c:pt idx="0">
                  <c:v>6.7266031901041679</c:v>
                </c:pt>
                <c:pt idx="1">
                  <c:v>10.828629557291668</c:v>
                </c:pt>
                <c:pt idx="2">
                  <c:v>14.93065592447917</c:v>
                </c:pt>
              </c:numCache>
            </c:numRef>
          </c:val>
        </c:ser>
        <c:ser>
          <c:idx val="5"/>
          <c:order val="5"/>
          <c:tx>
            <c:strRef>
              <c:f>Values!$BK$68</c:f>
              <c:strCache>
                <c:ptCount val="1"/>
                <c:pt idx="0">
                  <c:v>1 engine (4 scan processes)</c:v>
                </c:pt>
              </c:strCache>
            </c:strRef>
          </c:tx>
          <c:marker>
            <c:symbol val="none"/>
          </c:marker>
          <c:cat>
            <c:numRef>
              <c:f>Values!$BE$69:$BE$71</c:f>
              <c:numCache>
                <c:formatCode>General</c:formatCode>
                <c:ptCount val="3"/>
                <c:pt idx="0">
                  <c:v>2000</c:v>
                </c:pt>
                <c:pt idx="1">
                  <c:v>4000</c:v>
                </c:pt>
                <c:pt idx="2">
                  <c:v>6000</c:v>
                </c:pt>
              </c:numCache>
            </c:numRef>
          </c:cat>
          <c:val>
            <c:numRef>
              <c:f>Values!$BK$69:$BK$71</c:f>
              <c:numCache>
                <c:formatCode>General</c:formatCode>
                <c:ptCount val="3"/>
                <c:pt idx="0">
                  <c:v>6.5076610514322919</c:v>
                </c:pt>
                <c:pt idx="1">
                  <c:v>10.613760904947917</c:v>
                </c:pt>
                <c:pt idx="2">
                  <c:v>14.719860758463541</c:v>
                </c:pt>
              </c:numCache>
            </c:numRef>
          </c:val>
        </c:ser>
        <c:ser>
          <c:idx val="6"/>
          <c:order val="6"/>
          <c:tx>
            <c:strRef>
              <c:f>Values!$BL$68</c:f>
              <c:strCache>
                <c:ptCount val="1"/>
                <c:pt idx="0">
                  <c:v>Exchange only</c:v>
                </c:pt>
              </c:strCache>
            </c:strRef>
          </c:tx>
          <c:marker>
            <c:symbol val="none"/>
          </c:marker>
          <c:cat>
            <c:numRef>
              <c:f>Values!$BE$69:$BE$71</c:f>
              <c:numCache>
                <c:formatCode>General</c:formatCode>
                <c:ptCount val="3"/>
                <c:pt idx="0">
                  <c:v>2000</c:v>
                </c:pt>
                <c:pt idx="1">
                  <c:v>4000</c:v>
                </c:pt>
                <c:pt idx="2">
                  <c:v>6000</c:v>
                </c:pt>
              </c:numCache>
            </c:numRef>
          </c:cat>
          <c:val>
            <c:numRef>
              <c:f>Values!$BL$69:$BL$71</c:f>
              <c:numCache>
                <c:formatCode>General</c:formatCode>
                <c:ptCount val="3"/>
                <c:pt idx="0">
                  <c:v>6.1612955729166679</c:v>
                </c:pt>
                <c:pt idx="1">
                  <c:v>10.262858072916668</c:v>
                </c:pt>
                <c:pt idx="2">
                  <c:v>14.364420572916664</c:v>
                </c:pt>
              </c:numCache>
            </c:numRef>
          </c:val>
        </c:ser>
        <c:hiLowLines/>
        <c:marker val="1"/>
        <c:axId val="115419776"/>
        <c:axId val="115434240"/>
      </c:lineChart>
      <c:catAx>
        <c:axId val="115419776"/>
        <c:scaling>
          <c:orientation val="minMax"/>
        </c:scaling>
        <c:axPos val="b"/>
        <c:title>
          <c:tx>
            <c:rich>
              <a:bodyPr/>
              <a:lstStyle/>
              <a:p>
                <a:pPr>
                  <a:defRPr/>
                </a:pPr>
                <a:r>
                  <a:rPr lang="en-US"/>
                  <a:t>Number</a:t>
                </a:r>
                <a:r>
                  <a:rPr lang="en-US" baseline="0"/>
                  <a:t> of Mailboxes</a:t>
                </a:r>
                <a:endParaRPr lang="en-US"/>
              </a:p>
            </c:rich>
          </c:tx>
        </c:title>
        <c:numFmt formatCode="General" sourceLinked="1"/>
        <c:majorTickMark val="none"/>
        <c:tickLblPos val="nextTo"/>
        <c:crossAx val="115434240"/>
        <c:crosses val="autoZero"/>
        <c:auto val="1"/>
        <c:lblAlgn val="ctr"/>
        <c:lblOffset val="100"/>
      </c:catAx>
      <c:valAx>
        <c:axId val="115434240"/>
        <c:scaling>
          <c:orientation val="minMax"/>
        </c:scaling>
        <c:axPos val="l"/>
        <c:majorGridlines/>
        <c:title>
          <c:tx>
            <c:rich>
              <a:bodyPr/>
              <a:lstStyle/>
              <a:p>
                <a:pPr>
                  <a:defRPr/>
                </a:pPr>
                <a:r>
                  <a:rPr lang="en-US"/>
                  <a:t>Memory</a:t>
                </a:r>
                <a:r>
                  <a:rPr lang="en-US" baseline="0"/>
                  <a:t> Utilization (GB)</a:t>
                </a:r>
                <a:endParaRPr lang="en-US"/>
              </a:p>
            </c:rich>
          </c:tx>
        </c:title>
        <c:numFmt formatCode="General" sourceLinked="1"/>
        <c:tickLblPos val="nextTo"/>
        <c:crossAx val="115419776"/>
        <c:crosses val="autoZero"/>
        <c:crossBetween val="between"/>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a:t>
            </a:r>
            <a:r>
              <a:rPr lang="en-US" baseline="0"/>
              <a:t> Role Server: Memory Utilization</a:t>
            </a:r>
            <a:endParaRPr lang="en-US"/>
          </a:p>
        </c:rich>
      </c:tx>
    </c:title>
    <c:plotArea>
      <c:layout/>
      <c:lineChart>
        <c:grouping val="standard"/>
        <c:ser>
          <c:idx val="0"/>
          <c:order val="0"/>
          <c:tx>
            <c:strRef>
              <c:f>Values!$BF$68</c:f>
              <c:strCache>
                <c:ptCount val="1"/>
                <c:pt idx="0">
                  <c:v>5 engines (8 scan processes)</c:v>
                </c:pt>
              </c:strCache>
            </c:strRef>
          </c:tx>
          <c:marker>
            <c:symbol val="none"/>
          </c:marker>
          <c:cat>
            <c:numRef>
              <c:f>Values!$BE$69:$BE$71</c:f>
              <c:numCache>
                <c:formatCode>General</c:formatCode>
                <c:ptCount val="3"/>
                <c:pt idx="0">
                  <c:v>2000</c:v>
                </c:pt>
                <c:pt idx="1">
                  <c:v>4000</c:v>
                </c:pt>
                <c:pt idx="2">
                  <c:v>6000</c:v>
                </c:pt>
              </c:numCache>
            </c:numRef>
          </c:cat>
          <c:val>
            <c:numRef>
              <c:f>Values!$BF$69:$BF$71</c:f>
              <c:numCache>
                <c:formatCode>General</c:formatCode>
                <c:ptCount val="3"/>
                <c:pt idx="0">
                  <c:v>8.7330427042643244</c:v>
                </c:pt>
                <c:pt idx="1">
                  <c:v>12.846196085611977</c:v>
                </c:pt>
                <c:pt idx="2">
                  <c:v>16.959349466959633</c:v>
                </c:pt>
              </c:numCache>
            </c:numRef>
          </c:val>
        </c:ser>
        <c:ser>
          <c:idx val="1"/>
          <c:order val="1"/>
          <c:tx>
            <c:strRef>
              <c:f>Values!$BG$68</c:f>
              <c:strCache>
                <c:ptCount val="1"/>
                <c:pt idx="0">
                  <c:v>3 engines (8 scan processes)</c:v>
                </c:pt>
              </c:strCache>
            </c:strRef>
          </c:tx>
          <c:marker>
            <c:symbol val="none"/>
          </c:marker>
          <c:cat>
            <c:numRef>
              <c:f>Values!$BE$69:$BE$71</c:f>
              <c:numCache>
                <c:formatCode>General</c:formatCode>
                <c:ptCount val="3"/>
                <c:pt idx="0">
                  <c:v>2000</c:v>
                </c:pt>
                <c:pt idx="1">
                  <c:v>4000</c:v>
                </c:pt>
                <c:pt idx="2">
                  <c:v>6000</c:v>
                </c:pt>
              </c:numCache>
            </c:numRef>
          </c:cat>
          <c:val>
            <c:numRef>
              <c:f>Values!$BG$69:$BG$71</c:f>
              <c:numCache>
                <c:formatCode>General</c:formatCode>
                <c:ptCount val="3"/>
                <c:pt idx="0">
                  <c:v>7.2974698893229162</c:v>
                </c:pt>
                <c:pt idx="1">
                  <c:v>11.405519205729165</c:v>
                </c:pt>
                <c:pt idx="2">
                  <c:v>15.513568522135415</c:v>
                </c:pt>
              </c:numCache>
            </c:numRef>
          </c:val>
        </c:ser>
        <c:ser>
          <c:idx val="2"/>
          <c:order val="2"/>
          <c:tx>
            <c:strRef>
              <c:f>Values!$BH$68</c:f>
              <c:strCache>
                <c:ptCount val="1"/>
                <c:pt idx="0">
                  <c:v>1 engine (8 scan processes)</c:v>
                </c:pt>
              </c:strCache>
            </c:strRef>
          </c:tx>
          <c:marker>
            <c:symbol val="none"/>
          </c:marker>
          <c:cat>
            <c:numRef>
              <c:f>Values!$BE$69:$BE$71</c:f>
              <c:numCache>
                <c:formatCode>General</c:formatCode>
                <c:ptCount val="3"/>
                <c:pt idx="0">
                  <c:v>2000</c:v>
                </c:pt>
                <c:pt idx="1">
                  <c:v>4000</c:v>
                </c:pt>
                <c:pt idx="2">
                  <c:v>6000</c:v>
                </c:pt>
              </c:numCache>
            </c:numRef>
          </c:cat>
          <c:val>
            <c:numRef>
              <c:f>Values!$BH$69:$BH$71</c:f>
              <c:numCache>
                <c:formatCode>General</c:formatCode>
                <c:ptCount val="3"/>
                <c:pt idx="0">
                  <c:v>6.8500861002604161</c:v>
                </c:pt>
                <c:pt idx="1">
                  <c:v>10.956782877604169</c:v>
                </c:pt>
                <c:pt idx="2">
                  <c:v>15.063479654947919</c:v>
                </c:pt>
              </c:numCache>
            </c:numRef>
          </c:val>
        </c:ser>
        <c:ser>
          <c:idx val="3"/>
          <c:order val="3"/>
          <c:tx>
            <c:strRef>
              <c:f>Values!$BI$68</c:f>
              <c:strCache>
                <c:ptCount val="1"/>
                <c:pt idx="0">
                  <c:v>5 engines (4 scan processes)</c:v>
                </c:pt>
              </c:strCache>
            </c:strRef>
          </c:tx>
          <c:marker>
            <c:symbol val="none"/>
          </c:marker>
          <c:cat>
            <c:numRef>
              <c:f>Values!$BE$69:$BE$71</c:f>
              <c:numCache>
                <c:formatCode>General</c:formatCode>
                <c:ptCount val="3"/>
                <c:pt idx="0">
                  <c:v>2000</c:v>
                </c:pt>
                <c:pt idx="1">
                  <c:v>4000</c:v>
                </c:pt>
                <c:pt idx="2">
                  <c:v>6000</c:v>
                </c:pt>
              </c:numCache>
            </c:numRef>
          </c:cat>
          <c:val>
            <c:numRef>
              <c:f>Values!$BI$69:$BI$71</c:f>
              <c:numCache>
                <c:formatCode>General</c:formatCode>
                <c:ptCount val="3"/>
                <c:pt idx="0">
                  <c:v>7.4481510416666676</c:v>
                </c:pt>
                <c:pt idx="1">
                  <c:v>11.556490885416668</c:v>
                </c:pt>
                <c:pt idx="2">
                  <c:v>15.66483072916667</c:v>
                </c:pt>
              </c:numCache>
            </c:numRef>
          </c:val>
        </c:ser>
        <c:ser>
          <c:idx val="4"/>
          <c:order val="4"/>
          <c:tx>
            <c:strRef>
              <c:f>Values!$BJ$68</c:f>
              <c:strCache>
                <c:ptCount val="1"/>
                <c:pt idx="0">
                  <c:v>3 engines (4 scan processes)</c:v>
                </c:pt>
              </c:strCache>
            </c:strRef>
          </c:tx>
          <c:marker>
            <c:symbol val="none"/>
          </c:marker>
          <c:cat>
            <c:numRef>
              <c:f>Values!$BE$69:$BE$71</c:f>
              <c:numCache>
                <c:formatCode>General</c:formatCode>
                <c:ptCount val="3"/>
                <c:pt idx="0">
                  <c:v>2000</c:v>
                </c:pt>
                <c:pt idx="1">
                  <c:v>4000</c:v>
                </c:pt>
                <c:pt idx="2">
                  <c:v>6000</c:v>
                </c:pt>
              </c:numCache>
            </c:numRef>
          </c:cat>
          <c:val>
            <c:numRef>
              <c:f>Values!$BJ$69:$BJ$71</c:f>
              <c:numCache>
                <c:formatCode>General</c:formatCode>
                <c:ptCount val="3"/>
                <c:pt idx="0">
                  <c:v>6.7266031901041679</c:v>
                </c:pt>
                <c:pt idx="1">
                  <c:v>10.828629557291668</c:v>
                </c:pt>
                <c:pt idx="2">
                  <c:v>14.93065592447917</c:v>
                </c:pt>
              </c:numCache>
            </c:numRef>
          </c:val>
        </c:ser>
        <c:ser>
          <c:idx val="5"/>
          <c:order val="5"/>
          <c:tx>
            <c:strRef>
              <c:f>Values!$BK$68</c:f>
              <c:strCache>
                <c:ptCount val="1"/>
                <c:pt idx="0">
                  <c:v>1 engine (4 scan processes)</c:v>
                </c:pt>
              </c:strCache>
            </c:strRef>
          </c:tx>
          <c:marker>
            <c:symbol val="none"/>
          </c:marker>
          <c:cat>
            <c:numRef>
              <c:f>Values!$BE$69:$BE$71</c:f>
              <c:numCache>
                <c:formatCode>General</c:formatCode>
                <c:ptCount val="3"/>
                <c:pt idx="0">
                  <c:v>2000</c:v>
                </c:pt>
                <c:pt idx="1">
                  <c:v>4000</c:v>
                </c:pt>
                <c:pt idx="2">
                  <c:v>6000</c:v>
                </c:pt>
              </c:numCache>
            </c:numRef>
          </c:cat>
          <c:val>
            <c:numRef>
              <c:f>Values!$BK$69:$BK$71</c:f>
              <c:numCache>
                <c:formatCode>General</c:formatCode>
                <c:ptCount val="3"/>
                <c:pt idx="0">
                  <c:v>6.5076610514322919</c:v>
                </c:pt>
                <c:pt idx="1">
                  <c:v>10.613760904947917</c:v>
                </c:pt>
                <c:pt idx="2">
                  <c:v>14.719860758463541</c:v>
                </c:pt>
              </c:numCache>
            </c:numRef>
          </c:val>
        </c:ser>
        <c:ser>
          <c:idx val="6"/>
          <c:order val="6"/>
          <c:tx>
            <c:strRef>
              <c:f>Values!$BL$68</c:f>
              <c:strCache>
                <c:ptCount val="1"/>
                <c:pt idx="0">
                  <c:v>Exchange only</c:v>
                </c:pt>
              </c:strCache>
            </c:strRef>
          </c:tx>
          <c:marker>
            <c:symbol val="none"/>
          </c:marker>
          <c:cat>
            <c:numRef>
              <c:f>Values!$BE$69:$BE$71</c:f>
              <c:numCache>
                <c:formatCode>General</c:formatCode>
                <c:ptCount val="3"/>
                <c:pt idx="0">
                  <c:v>2000</c:v>
                </c:pt>
                <c:pt idx="1">
                  <c:v>4000</c:v>
                </c:pt>
                <c:pt idx="2">
                  <c:v>6000</c:v>
                </c:pt>
              </c:numCache>
            </c:numRef>
          </c:cat>
          <c:val>
            <c:numRef>
              <c:f>Values!$BL$69:$BL$71</c:f>
              <c:numCache>
                <c:formatCode>General</c:formatCode>
                <c:ptCount val="3"/>
                <c:pt idx="0">
                  <c:v>6.1612955729166679</c:v>
                </c:pt>
                <c:pt idx="1">
                  <c:v>10.262858072916668</c:v>
                </c:pt>
                <c:pt idx="2">
                  <c:v>14.364420572916664</c:v>
                </c:pt>
              </c:numCache>
            </c:numRef>
          </c:val>
        </c:ser>
        <c:hiLowLines/>
        <c:marker val="1"/>
        <c:axId val="116966528"/>
        <c:axId val="116968448"/>
      </c:lineChart>
      <c:catAx>
        <c:axId val="116966528"/>
        <c:scaling>
          <c:orientation val="minMax"/>
        </c:scaling>
        <c:axPos val="b"/>
        <c:minorGridlines/>
        <c:title>
          <c:tx>
            <c:rich>
              <a:bodyPr/>
              <a:lstStyle/>
              <a:p>
                <a:pPr>
                  <a:defRPr/>
                </a:pPr>
                <a:r>
                  <a:rPr lang="en-US"/>
                  <a:t>Number</a:t>
                </a:r>
                <a:r>
                  <a:rPr lang="en-US" baseline="0"/>
                  <a:t> of Mailboxes</a:t>
                </a:r>
                <a:endParaRPr lang="en-US"/>
              </a:p>
            </c:rich>
          </c:tx>
        </c:title>
        <c:numFmt formatCode="General" sourceLinked="1"/>
        <c:majorTickMark val="none"/>
        <c:tickLblPos val="nextTo"/>
        <c:crossAx val="116968448"/>
        <c:crosses val="autoZero"/>
        <c:auto val="1"/>
        <c:lblAlgn val="ctr"/>
        <c:lblOffset val="100"/>
      </c:catAx>
      <c:valAx>
        <c:axId val="116968448"/>
        <c:scaling>
          <c:orientation val="minMax"/>
          <c:min val="6"/>
        </c:scaling>
        <c:axPos val="l"/>
        <c:majorGridlines/>
        <c:title>
          <c:tx>
            <c:rich>
              <a:bodyPr/>
              <a:lstStyle/>
              <a:p>
                <a:pPr>
                  <a:defRPr/>
                </a:pPr>
                <a:r>
                  <a:rPr lang="en-US"/>
                  <a:t>Memory</a:t>
                </a:r>
                <a:r>
                  <a:rPr lang="en-US" baseline="0"/>
                  <a:t> Utilization (GB)</a:t>
                </a:r>
                <a:endParaRPr lang="en-US"/>
              </a:p>
            </c:rich>
          </c:tx>
        </c:title>
        <c:numFmt formatCode="General" sourceLinked="1"/>
        <c:tickLblPos val="nextTo"/>
        <c:crossAx val="116966528"/>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Multi Role</a:t>
            </a:r>
            <a:r>
              <a:rPr lang="en-US" baseline="0"/>
              <a:t> Server: CPU Utilization</a:t>
            </a:r>
            <a:endParaRPr lang="en-US"/>
          </a:p>
        </c:rich>
      </c:tx>
    </c:title>
    <c:plotArea>
      <c:layout/>
      <c:lineChart>
        <c:grouping val="standard"/>
        <c:ser>
          <c:idx val="0"/>
          <c:order val="0"/>
          <c:tx>
            <c:strRef>
              <c:f>Values!$AV$64</c:f>
              <c:strCache>
                <c:ptCount val="1"/>
                <c:pt idx="0">
                  <c:v>5 engines (8 scan processes)</c:v>
                </c:pt>
              </c:strCache>
            </c:strRef>
          </c:tx>
          <c:marker>
            <c:symbol val="none"/>
          </c:marker>
          <c:cat>
            <c:numRef>
              <c:f>Values!$AU$65:$AU$67</c:f>
              <c:numCache>
                <c:formatCode>General</c:formatCode>
                <c:ptCount val="3"/>
                <c:pt idx="0">
                  <c:v>2000</c:v>
                </c:pt>
                <c:pt idx="1">
                  <c:v>4000</c:v>
                </c:pt>
                <c:pt idx="2">
                  <c:v>6000</c:v>
                </c:pt>
              </c:numCache>
            </c:numRef>
          </c:cat>
          <c:val>
            <c:numRef>
              <c:f>Values!$AV$65:$AV$67</c:f>
              <c:numCache>
                <c:formatCode>General</c:formatCode>
                <c:ptCount val="3"/>
                <c:pt idx="0">
                  <c:v>41.203180301783853</c:v>
                </c:pt>
                <c:pt idx="1">
                  <c:v>81.803920965862943</c:v>
                </c:pt>
                <c:pt idx="2">
                  <c:v>122.40466162994204</c:v>
                </c:pt>
              </c:numCache>
            </c:numRef>
          </c:val>
        </c:ser>
        <c:ser>
          <c:idx val="1"/>
          <c:order val="1"/>
          <c:tx>
            <c:strRef>
              <c:f>Values!$AW$64</c:f>
              <c:strCache>
                <c:ptCount val="1"/>
                <c:pt idx="0">
                  <c:v>3 engines (8 scan processes)</c:v>
                </c:pt>
              </c:strCache>
            </c:strRef>
          </c:tx>
          <c:marker>
            <c:symbol val="none"/>
          </c:marker>
          <c:cat>
            <c:numRef>
              <c:f>Values!$AU$65:$AU$67</c:f>
              <c:numCache>
                <c:formatCode>General</c:formatCode>
                <c:ptCount val="3"/>
                <c:pt idx="0">
                  <c:v>2000</c:v>
                </c:pt>
                <c:pt idx="1">
                  <c:v>4000</c:v>
                </c:pt>
                <c:pt idx="2">
                  <c:v>6000</c:v>
                </c:pt>
              </c:numCache>
            </c:numRef>
          </c:cat>
          <c:val>
            <c:numRef>
              <c:f>Values!$AW$65:$AW$67</c:f>
              <c:numCache>
                <c:formatCode>General</c:formatCode>
                <c:ptCount val="3"/>
                <c:pt idx="0">
                  <c:v>39.530535325870595</c:v>
                </c:pt>
                <c:pt idx="1">
                  <c:v>78.263051110383387</c:v>
                </c:pt>
                <c:pt idx="2">
                  <c:v>116.99556689489617</c:v>
                </c:pt>
              </c:numCache>
            </c:numRef>
          </c:val>
        </c:ser>
        <c:ser>
          <c:idx val="2"/>
          <c:order val="2"/>
          <c:tx>
            <c:strRef>
              <c:f>Values!$AX$64</c:f>
              <c:strCache>
                <c:ptCount val="1"/>
                <c:pt idx="0">
                  <c:v>1 engine (8 scan processes)</c:v>
                </c:pt>
              </c:strCache>
            </c:strRef>
          </c:tx>
          <c:marker>
            <c:symbol val="none"/>
          </c:marker>
          <c:cat>
            <c:numRef>
              <c:f>Values!$AU$65:$AU$67</c:f>
              <c:numCache>
                <c:formatCode>General</c:formatCode>
                <c:ptCount val="3"/>
                <c:pt idx="0">
                  <c:v>2000</c:v>
                </c:pt>
                <c:pt idx="1">
                  <c:v>4000</c:v>
                </c:pt>
                <c:pt idx="2">
                  <c:v>6000</c:v>
                </c:pt>
              </c:numCache>
            </c:numRef>
          </c:cat>
          <c:val>
            <c:numRef>
              <c:f>Values!$AX$65:$AX$67</c:f>
              <c:numCache>
                <c:formatCode>General</c:formatCode>
                <c:ptCount val="3"/>
                <c:pt idx="0">
                  <c:v>37.789565461210053</c:v>
                </c:pt>
                <c:pt idx="1">
                  <c:v>75.035231922420095</c:v>
                </c:pt>
                <c:pt idx="2">
                  <c:v>112.28089838363016</c:v>
                </c:pt>
              </c:numCache>
            </c:numRef>
          </c:val>
        </c:ser>
        <c:ser>
          <c:idx val="3"/>
          <c:order val="3"/>
          <c:tx>
            <c:strRef>
              <c:f>Values!$AY$64</c:f>
              <c:strCache>
                <c:ptCount val="1"/>
                <c:pt idx="0">
                  <c:v>5 engines (4 scan processes)</c:v>
                </c:pt>
              </c:strCache>
            </c:strRef>
          </c:tx>
          <c:marker>
            <c:symbol val="none"/>
          </c:marker>
          <c:cat>
            <c:numRef>
              <c:f>Values!$AU$65:$AU$67</c:f>
              <c:numCache>
                <c:formatCode>General</c:formatCode>
                <c:ptCount val="3"/>
                <c:pt idx="0">
                  <c:v>2000</c:v>
                </c:pt>
                <c:pt idx="1">
                  <c:v>4000</c:v>
                </c:pt>
                <c:pt idx="2">
                  <c:v>6000</c:v>
                </c:pt>
              </c:numCache>
            </c:numRef>
          </c:cat>
          <c:val>
            <c:numRef>
              <c:f>Values!$AY$65:$AY$67</c:f>
              <c:numCache>
                <c:formatCode>General</c:formatCode>
                <c:ptCount val="3"/>
                <c:pt idx="0">
                  <c:v>40.863947683432272</c:v>
                </c:pt>
                <c:pt idx="1">
                  <c:v>81.564846366864543</c:v>
                </c:pt>
                <c:pt idx="2">
                  <c:v>122.2657450502968</c:v>
                </c:pt>
              </c:numCache>
            </c:numRef>
          </c:val>
        </c:ser>
        <c:ser>
          <c:idx val="4"/>
          <c:order val="4"/>
          <c:tx>
            <c:strRef>
              <c:f>Values!$AZ$64</c:f>
              <c:strCache>
                <c:ptCount val="1"/>
                <c:pt idx="0">
                  <c:v>3 engines (4 scan processes)</c:v>
                </c:pt>
              </c:strCache>
            </c:strRef>
          </c:tx>
          <c:marker>
            <c:symbol val="none"/>
          </c:marker>
          <c:cat>
            <c:numRef>
              <c:f>Values!$AU$65:$AU$67</c:f>
              <c:numCache>
                <c:formatCode>General</c:formatCode>
                <c:ptCount val="3"/>
                <c:pt idx="0">
                  <c:v>2000</c:v>
                </c:pt>
                <c:pt idx="1">
                  <c:v>4000</c:v>
                </c:pt>
                <c:pt idx="2">
                  <c:v>6000</c:v>
                </c:pt>
              </c:numCache>
            </c:numRef>
          </c:cat>
          <c:val>
            <c:numRef>
              <c:f>Values!$AZ$65:$AZ$67</c:f>
              <c:numCache>
                <c:formatCode>General</c:formatCode>
                <c:ptCount val="3"/>
                <c:pt idx="0">
                  <c:v>39.926579470442036</c:v>
                </c:pt>
                <c:pt idx="1">
                  <c:v>79.678877088923116</c:v>
                </c:pt>
                <c:pt idx="2">
                  <c:v>119.4311747074042</c:v>
                </c:pt>
              </c:numCache>
            </c:numRef>
          </c:val>
        </c:ser>
        <c:ser>
          <c:idx val="5"/>
          <c:order val="5"/>
          <c:tx>
            <c:strRef>
              <c:f>Values!$BA$64</c:f>
              <c:strCache>
                <c:ptCount val="1"/>
                <c:pt idx="0">
                  <c:v>1 engine (4 scan processes)</c:v>
                </c:pt>
              </c:strCache>
            </c:strRef>
          </c:tx>
          <c:marker>
            <c:symbol val="none"/>
          </c:marker>
          <c:cat>
            <c:numRef>
              <c:f>Values!$AU$65:$AU$67</c:f>
              <c:numCache>
                <c:formatCode>General</c:formatCode>
                <c:ptCount val="3"/>
                <c:pt idx="0">
                  <c:v>2000</c:v>
                </c:pt>
                <c:pt idx="1">
                  <c:v>4000</c:v>
                </c:pt>
                <c:pt idx="2">
                  <c:v>6000</c:v>
                </c:pt>
              </c:numCache>
            </c:numRef>
          </c:cat>
          <c:val>
            <c:numRef>
              <c:f>Values!$BA$65:$BA$67</c:f>
              <c:numCache>
                <c:formatCode>General</c:formatCode>
                <c:ptCount val="3"/>
                <c:pt idx="0">
                  <c:v>38.47849918343227</c:v>
                </c:pt>
                <c:pt idx="1">
                  <c:v>76.12459536686454</c:v>
                </c:pt>
                <c:pt idx="2">
                  <c:v>113.77069155029682</c:v>
                </c:pt>
              </c:numCache>
            </c:numRef>
          </c:val>
        </c:ser>
        <c:ser>
          <c:idx val="6"/>
          <c:order val="6"/>
          <c:tx>
            <c:strRef>
              <c:f>Values!$BB$64</c:f>
              <c:strCache>
                <c:ptCount val="1"/>
                <c:pt idx="0">
                  <c:v>Exchange only</c:v>
                </c:pt>
              </c:strCache>
            </c:strRef>
          </c:tx>
          <c:marker>
            <c:symbol val="none"/>
          </c:marker>
          <c:cat>
            <c:numRef>
              <c:f>Values!$AU$65:$AU$67</c:f>
              <c:numCache>
                <c:formatCode>General</c:formatCode>
                <c:ptCount val="3"/>
                <c:pt idx="0">
                  <c:v>2000</c:v>
                </c:pt>
                <c:pt idx="1">
                  <c:v>4000</c:v>
                </c:pt>
                <c:pt idx="2">
                  <c:v>6000</c:v>
                </c:pt>
              </c:numCache>
            </c:numRef>
          </c:cat>
          <c:val>
            <c:numRef>
              <c:f>Values!$BB$65:$BB$67</c:f>
              <c:numCache>
                <c:formatCode>General</c:formatCode>
                <c:ptCount val="3"/>
                <c:pt idx="0">
                  <c:v>32.424164303035525</c:v>
                </c:pt>
                <c:pt idx="1">
                  <c:v>64.26011562535669</c:v>
                </c:pt>
                <c:pt idx="2">
                  <c:v>96.096066947677855</c:v>
                </c:pt>
              </c:numCache>
            </c:numRef>
          </c:val>
        </c:ser>
        <c:hiLowLines/>
        <c:marker val="1"/>
        <c:axId val="117047680"/>
        <c:axId val="117049600"/>
      </c:lineChart>
      <c:catAx>
        <c:axId val="117047680"/>
        <c:scaling>
          <c:orientation val="minMax"/>
        </c:scaling>
        <c:axPos val="b"/>
        <c:minorGridlines/>
        <c:title>
          <c:tx>
            <c:rich>
              <a:bodyPr/>
              <a:lstStyle/>
              <a:p>
                <a:pPr>
                  <a:defRPr/>
                </a:pPr>
                <a:r>
                  <a:rPr lang="en-US"/>
                  <a:t>Number</a:t>
                </a:r>
                <a:r>
                  <a:rPr lang="en-US" baseline="0"/>
                  <a:t> of Mailboxes</a:t>
                </a:r>
                <a:endParaRPr lang="en-US"/>
              </a:p>
            </c:rich>
          </c:tx>
        </c:title>
        <c:numFmt formatCode="General" sourceLinked="1"/>
        <c:majorTickMark val="none"/>
        <c:tickLblPos val="nextTo"/>
        <c:crossAx val="117049600"/>
        <c:crosses val="autoZero"/>
        <c:auto val="1"/>
        <c:lblAlgn val="ctr"/>
        <c:lblOffset val="100"/>
      </c:catAx>
      <c:valAx>
        <c:axId val="117049600"/>
        <c:scaling>
          <c:orientation val="minMax"/>
          <c:min val="30"/>
        </c:scaling>
        <c:axPos val="l"/>
        <c:majorGridlines/>
        <c:title>
          <c:tx>
            <c:rich>
              <a:bodyPr/>
              <a:lstStyle/>
              <a:p>
                <a:pPr>
                  <a:defRPr/>
                </a:pPr>
                <a:r>
                  <a:rPr lang="en-US"/>
                  <a:t>%</a:t>
                </a:r>
                <a:r>
                  <a:rPr lang="en-US" baseline="0"/>
                  <a:t> Utilization</a:t>
                </a:r>
                <a:endParaRPr lang="en-US"/>
              </a:p>
            </c:rich>
          </c:tx>
        </c:title>
        <c:numFmt formatCode="General" sourceLinked="1"/>
        <c:tickLblPos val="nextTo"/>
        <c:crossAx val="117047680"/>
        <c:crosses val="autoZero"/>
        <c:crossBetween val="between"/>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Hub Server: CPU Utilization</a:t>
            </a:r>
          </a:p>
        </c:rich>
      </c:tx>
    </c:title>
    <c:plotArea>
      <c:layout/>
      <c:lineChart>
        <c:grouping val="standard"/>
        <c:ser>
          <c:idx val="0"/>
          <c:order val="0"/>
          <c:tx>
            <c:strRef>
              <c:f>Values!$BK$7</c:f>
              <c:strCache>
                <c:ptCount val="1"/>
                <c:pt idx="0">
                  <c:v>5 engines</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Values!$BK$8:$BK$22</c:f>
              <c:numCache>
                <c:formatCode>General</c:formatCode>
                <c:ptCount val="15"/>
                <c:pt idx="0">
                  <c:v>8.3018000000000001</c:v>
                </c:pt>
                <c:pt idx="1">
                  <c:v>16.035</c:v>
                </c:pt>
                <c:pt idx="2">
                  <c:v>23.768199999999997</c:v>
                </c:pt>
                <c:pt idx="3">
                  <c:v>31.5014</c:v>
                </c:pt>
                <c:pt idx="4">
                  <c:v>39.2346</c:v>
                </c:pt>
                <c:pt idx="5">
                  <c:v>46.967799999999997</c:v>
                </c:pt>
                <c:pt idx="6">
                  <c:v>54.701000000000001</c:v>
                </c:pt>
                <c:pt idx="7">
                  <c:v>62.434199999999997</c:v>
                </c:pt>
                <c:pt idx="8">
                  <c:v>70.167399999999986</c:v>
                </c:pt>
                <c:pt idx="9">
                  <c:v>77.900599999999997</c:v>
                </c:pt>
                <c:pt idx="10">
                  <c:v>85.633799999999994</c:v>
                </c:pt>
                <c:pt idx="11">
                  <c:v>93.36699999999999</c:v>
                </c:pt>
                <c:pt idx="12">
                  <c:v>101.1002</c:v>
                </c:pt>
                <c:pt idx="13">
                  <c:v>108.83340000000001</c:v>
                </c:pt>
                <c:pt idx="14">
                  <c:v>116.56660000000001</c:v>
                </c:pt>
              </c:numCache>
            </c:numRef>
          </c:val>
        </c:ser>
        <c:ser>
          <c:idx val="1"/>
          <c:order val="1"/>
          <c:tx>
            <c:strRef>
              <c:f>Values!$BL$7</c:f>
              <c:strCache>
                <c:ptCount val="1"/>
                <c:pt idx="0">
                  <c:v>3 engines</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Values!$BL$8:$BL$22</c:f>
              <c:numCache>
                <c:formatCode>General</c:formatCode>
                <c:ptCount val="15"/>
                <c:pt idx="0">
                  <c:v>7.0529999999999999</c:v>
                </c:pt>
                <c:pt idx="1">
                  <c:v>13.5374</c:v>
                </c:pt>
                <c:pt idx="2">
                  <c:v>20.021799999999999</c:v>
                </c:pt>
                <c:pt idx="3">
                  <c:v>26.506200000000003</c:v>
                </c:pt>
                <c:pt idx="4">
                  <c:v>32.990600000000001</c:v>
                </c:pt>
                <c:pt idx="5">
                  <c:v>39.475000000000001</c:v>
                </c:pt>
                <c:pt idx="6">
                  <c:v>45.959400000000002</c:v>
                </c:pt>
                <c:pt idx="7">
                  <c:v>52.443799999999996</c:v>
                </c:pt>
                <c:pt idx="8">
                  <c:v>58.928199999999997</c:v>
                </c:pt>
                <c:pt idx="9">
                  <c:v>65.412599999999998</c:v>
                </c:pt>
                <c:pt idx="10">
                  <c:v>71.897000000000006</c:v>
                </c:pt>
                <c:pt idx="11">
                  <c:v>78.381399999999999</c:v>
                </c:pt>
                <c:pt idx="12">
                  <c:v>84.865800000000007</c:v>
                </c:pt>
                <c:pt idx="13">
                  <c:v>91.350200000000001</c:v>
                </c:pt>
                <c:pt idx="14">
                  <c:v>97.834600000000009</c:v>
                </c:pt>
              </c:numCache>
            </c:numRef>
          </c:val>
        </c:ser>
        <c:ser>
          <c:idx val="2"/>
          <c:order val="2"/>
          <c:tx>
            <c:strRef>
              <c:f>Values!$BM$7</c:f>
              <c:strCache>
                <c:ptCount val="1"/>
                <c:pt idx="0">
                  <c:v>1 engine</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Values!$BM$8:$BM$22</c:f>
              <c:numCache>
                <c:formatCode>General</c:formatCode>
                <c:ptCount val="15"/>
                <c:pt idx="0">
                  <c:v>6.1115500000000003</c:v>
                </c:pt>
                <c:pt idx="1">
                  <c:v>11.668000000000001</c:v>
                </c:pt>
                <c:pt idx="2">
                  <c:v>17.224450000000001</c:v>
                </c:pt>
                <c:pt idx="3">
                  <c:v>22.780900000000003</c:v>
                </c:pt>
                <c:pt idx="4">
                  <c:v>28.337349999999994</c:v>
                </c:pt>
                <c:pt idx="5">
                  <c:v>33.893799999999999</c:v>
                </c:pt>
                <c:pt idx="6">
                  <c:v>39.450249999999997</c:v>
                </c:pt>
                <c:pt idx="7">
                  <c:v>45.006700000000002</c:v>
                </c:pt>
                <c:pt idx="8">
                  <c:v>50.56315</c:v>
                </c:pt>
                <c:pt idx="9">
                  <c:v>56.119599999999991</c:v>
                </c:pt>
                <c:pt idx="10">
                  <c:v>61.676049999999996</c:v>
                </c:pt>
                <c:pt idx="11">
                  <c:v>67.232500000000002</c:v>
                </c:pt>
                <c:pt idx="12">
                  <c:v>72.78895</c:v>
                </c:pt>
                <c:pt idx="13">
                  <c:v>78.345399999999998</c:v>
                </c:pt>
                <c:pt idx="14">
                  <c:v>83.901849999999996</c:v>
                </c:pt>
              </c:numCache>
            </c:numRef>
          </c:val>
        </c:ser>
        <c:ser>
          <c:idx val="3"/>
          <c:order val="3"/>
          <c:tx>
            <c:strRef>
              <c:f>Values!$BN$7</c:f>
              <c:strCache>
                <c:ptCount val="1"/>
                <c:pt idx="0">
                  <c:v>Exchange only</c:v>
                </c:pt>
              </c:strCache>
            </c:strRef>
          </c:tx>
          <c:marker>
            <c:symbol val="none"/>
          </c:marker>
          <c:cat>
            <c:numRef>
              <c:f>Values!$BJ$8:$BJ$22</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Values!$BN$8:$BN$22</c:f>
              <c:numCache>
                <c:formatCode>General</c:formatCode>
                <c:ptCount val="15"/>
                <c:pt idx="0">
                  <c:v>3.6561999999999997</c:v>
                </c:pt>
                <c:pt idx="1">
                  <c:v>6.8989999999999991</c:v>
                </c:pt>
                <c:pt idx="2">
                  <c:v>10.1418</c:v>
                </c:pt>
                <c:pt idx="3">
                  <c:v>13.384599999999999</c:v>
                </c:pt>
                <c:pt idx="4">
                  <c:v>16.627400000000002</c:v>
                </c:pt>
                <c:pt idx="5">
                  <c:v>19.870200000000001</c:v>
                </c:pt>
                <c:pt idx="6">
                  <c:v>23.113</c:v>
                </c:pt>
                <c:pt idx="7">
                  <c:v>26.355800000000002</c:v>
                </c:pt>
                <c:pt idx="8">
                  <c:v>29.598600000000001</c:v>
                </c:pt>
                <c:pt idx="9">
                  <c:v>32.841400000000007</c:v>
                </c:pt>
                <c:pt idx="10">
                  <c:v>36.084200000000003</c:v>
                </c:pt>
                <c:pt idx="11">
                  <c:v>39.327000000000005</c:v>
                </c:pt>
                <c:pt idx="12">
                  <c:v>42.569800000000008</c:v>
                </c:pt>
                <c:pt idx="13">
                  <c:v>45.812600000000003</c:v>
                </c:pt>
                <c:pt idx="14">
                  <c:v>49.055400000000006</c:v>
                </c:pt>
              </c:numCache>
            </c:numRef>
          </c:val>
        </c:ser>
        <c:hiLowLines/>
        <c:marker val="1"/>
        <c:axId val="117386240"/>
        <c:axId val="117392512"/>
      </c:lineChart>
      <c:catAx>
        <c:axId val="117386240"/>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117392512"/>
        <c:crosses val="autoZero"/>
        <c:auto val="1"/>
        <c:lblAlgn val="ctr"/>
        <c:lblOffset val="100"/>
      </c:catAx>
      <c:valAx>
        <c:axId val="117392512"/>
        <c:scaling>
          <c:orientation val="minMax"/>
          <c:max val="120"/>
        </c:scaling>
        <c:axPos val="l"/>
        <c:majorGridlines/>
        <c:title>
          <c:tx>
            <c:rich>
              <a:bodyPr/>
              <a:lstStyle/>
              <a:p>
                <a:pPr>
                  <a:defRPr/>
                </a:pPr>
                <a:r>
                  <a:rPr lang="en-US"/>
                  <a:t>% Utilization</a:t>
                </a:r>
              </a:p>
            </c:rich>
          </c:tx>
        </c:title>
        <c:numFmt formatCode="General" sourceLinked="1"/>
        <c:tickLblPos val="nextTo"/>
        <c:crossAx val="117386240"/>
        <c:crosses val="autoZero"/>
        <c:crossBetween val="between"/>
      </c:valAx>
    </c:plotArea>
    <c:legend>
      <c:legendPos val="r"/>
    </c:legend>
    <c:plotVisOnly val="1"/>
  </c:chart>
  <c:printSettings>
    <c:headerFooter/>
    <c:pageMargins b="0.75000000000000233" l="0.70000000000000062" r="0.70000000000000062" t="0.750000000000002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Hub Server: Memory Utilization</a:t>
            </a:r>
          </a:p>
        </c:rich>
      </c:tx>
    </c:title>
    <c:plotArea>
      <c:layout/>
      <c:lineChart>
        <c:grouping val="standard"/>
        <c:ser>
          <c:idx val="0"/>
          <c:order val="0"/>
          <c:tx>
            <c:strRef>
              <c:f>Values!$BP$25</c:f>
              <c:strCache>
                <c:ptCount val="1"/>
                <c:pt idx="0">
                  <c:v>5 engines</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Values!$BP$26:$BP$40</c:f>
              <c:numCache>
                <c:formatCode>General</c:formatCode>
                <c:ptCount val="15"/>
                <c:pt idx="0">
                  <c:v>2.2146038574218752</c:v>
                </c:pt>
                <c:pt idx="1">
                  <c:v>2.3250488281249999</c:v>
                </c:pt>
                <c:pt idx="2">
                  <c:v>2.4354937988281247</c:v>
                </c:pt>
                <c:pt idx="3">
                  <c:v>2.5459387695312499</c:v>
                </c:pt>
                <c:pt idx="4">
                  <c:v>2.6563837402343751</c:v>
                </c:pt>
                <c:pt idx="5">
                  <c:v>2.7668287109375003</c:v>
                </c:pt>
                <c:pt idx="6">
                  <c:v>2.8772736816406246</c:v>
                </c:pt>
                <c:pt idx="7">
                  <c:v>2.9877186523437498</c:v>
                </c:pt>
                <c:pt idx="8">
                  <c:v>3.098163623046875</c:v>
                </c:pt>
                <c:pt idx="9">
                  <c:v>3.2086085937499997</c:v>
                </c:pt>
                <c:pt idx="10">
                  <c:v>3.3190535644531245</c:v>
                </c:pt>
                <c:pt idx="11">
                  <c:v>3.4294985351562497</c:v>
                </c:pt>
                <c:pt idx="12">
                  <c:v>3.5399435058593749</c:v>
                </c:pt>
                <c:pt idx="13">
                  <c:v>3.6503884765624997</c:v>
                </c:pt>
                <c:pt idx="14">
                  <c:v>3.760833447265624</c:v>
                </c:pt>
              </c:numCache>
            </c:numRef>
          </c:val>
        </c:ser>
        <c:ser>
          <c:idx val="1"/>
          <c:order val="1"/>
          <c:tx>
            <c:strRef>
              <c:f>Values!$BQ$25</c:f>
              <c:strCache>
                <c:ptCount val="1"/>
                <c:pt idx="0">
                  <c:v>3 engines</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Values!$BQ$26:$BQ$40</c:f>
              <c:numCache>
                <c:formatCode>General</c:formatCode>
                <c:ptCount val="15"/>
                <c:pt idx="0">
                  <c:v>1.7423199218750001</c:v>
                </c:pt>
                <c:pt idx="1">
                  <c:v>1.81447265625</c:v>
                </c:pt>
                <c:pt idx="2">
                  <c:v>1.8866253906250001</c:v>
                </c:pt>
                <c:pt idx="3">
                  <c:v>1.9587781250000003</c:v>
                </c:pt>
                <c:pt idx="4">
                  <c:v>2.0309308593750002</c:v>
                </c:pt>
                <c:pt idx="5">
                  <c:v>2.1030835937500005</c:v>
                </c:pt>
                <c:pt idx="6">
                  <c:v>2.1752363281250009</c:v>
                </c:pt>
                <c:pt idx="7">
                  <c:v>2.2473890625000008</c:v>
                </c:pt>
                <c:pt idx="8">
                  <c:v>2.3195417968750007</c:v>
                </c:pt>
                <c:pt idx="9">
                  <c:v>2.3916945312500011</c:v>
                </c:pt>
                <c:pt idx="10">
                  <c:v>2.4638472656250014</c:v>
                </c:pt>
                <c:pt idx="11">
                  <c:v>2.5360000000000014</c:v>
                </c:pt>
                <c:pt idx="12">
                  <c:v>2.6081527343750013</c:v>
                </c:pt>
                <c:pt idx="13">
                  <c:v>2.6803054687500012</c:v>
                </c:pt>
                <c:pt idx="14">
                  <c:v>2.752458203125002</c:v>
                </c:pt>
              </c:numCache>
            </c:numRef>
          </c:val>
        </c:ser>
        <c:ser>
          <c:idx val="2"/>
          <c:order val="2"/>
          <c:tx>
            <c:strRef>
              <c:f>Values!$BR$25</c:f>
              <c:strCache>
                <c:ptCount val="1"/>
                <c:pt idx="0">
                  <c:v>1 engine</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Values!$BR$26:$BR$40</c:f>
              <c:numCache>
                <c:formatCode>General</c:formatCode>
                <c:ptCount val="15"/>
                <c:pt idx="0">
                  <c:v>1.59098232421875</c:v>
                </c:pt>
                <c:pt idx="1">
                  <c:v>1.66259765625</c:v>
                </c:pt>
                <c:pt idx="2">
                  <c:v>1.73421298828125</c:v>
                </c:pt>
                <c:pt idx="3">
                  <c:v>1.8058283203125001</c:v>
                </c:pt>
                <c:pt idx="4">
                  <c:v>1.8774436523437501</c:v>
                </c:pt>
                <c:pt idx="5">
                  <c:v>1.9490589843750001</c:v>
                </c:pt>
                <c:pt idx="6">
                  <c:v>2.0206743164062502</c:v>
                </c:pt>
                <c:pt idx="7">
                  <c:v>2.0922896484375002</c:v>
                </c:pt>
                <c:pt idx="8">
                  <c:v>2.1639049804687502</c:v>
                </c:pt>
                <c:pt idx="9">
                  <c:v>2.2355203125000003</c:v>
                </c:pt>
                <c:pt idx="10">
                  <c:v>2.3071356445312503</c:v>
                </c:pt>
                <c:pt idx="11">
                  <c:v>2.3787509765625003</c:v>
                </c:pt>
                <c:pt idx="12">
                  <c:v>2.4503663085937504</c:v>
                </c:pt>
                <c:pt idx="13">
                  <c:v>2.5219816406250004</c:v>
                </c:pt>
                <c:pt idx="14">
                  <c:v>2.5935969726562509</c:v>
                </c:pt>
              </c:numCache>
            </c:numRef>
          </c:val>
        </c:ser>
        <c:ser>
          <c:idx val="3"/>
          <c:order val="3"/>
          <c:tx>
            <c:strRef>
              <c:f>Values!$BS$25</c:f>
              <c:strCache>
                <c:ptCount val="1"/>
                <c:pt idx="0">
                  <c:v>Exchange only</c:v>
                </c:pt>
              </c:strCache>
            </c:strRef>
          </c:tx>
          <c:marker>
            <c:symbol val="none"/>
          </c:marker>
          <c:cat>
            <c:numRef>
              <c:f>Values!$BO$26:$BO$40</c:f>
              <c:numCache>
                <c:formatCode>General</c:formatCode>
                <c:ptCount val="15"/>
                <c:pt idx="0">
                  <c:v>2000</c:v>
                </c:pt>
                <c:pt idx="1">
                  <c:v>4000</c:v>
                </c:pt>
                <c:pt idx="2">
                  <c:v>6000</c:v>
                </c:pt>
                <c:pt idx="3">
                  <c:v>8000</c:v>
                </c:pt>
                <c:pt idx="4">
                  <c:v>10000</c:v>
                </c:pt>
                <c:pt idx="5">
                  <c:v>12000</c:v>
                </c:pt>
                <c:pt idx="6">
                  <c:v>14000</c:v>
                </c:pt>
                <c:pt idx="7">
                  <c:v>16000</c:v>
                </c:pt>
                <c:pt idx="8">
                  <c:v>18000</c:v>
                </c:pt>
                <c:pt idx="9">
                  <c:v>20000</c:v>
                </c:pt>
                <c:pt idx="10">
                  <c:v>22000</c:v>
                </c:pt>
                <c:pt idx="11">
                  <c:v>24000</c:v>
                </c:pt>
                <c:pt idx="12">
                  <c:v>26000</c:v>
                </c:pt>
                <c:pt idx="13">
                  <c:v>28000</c:v>
                </c:pt>
                <c:pt idx="14">
                  <c:v>30000</c:v>
                </c:pt>
              </c:numCache>
            </c:numRef>
          </c:cat>
          <c:val>
            <c:numRef>
              <c:f>Values!$BS$26:$BS$40</c:f>
              <c:numCache>
                <c:formatCode>General</c:formatCode>
                <c:ptCount val="15"/>
                <c:pt idx="0">
                  <c:v>1.3540576171875001</c:v>
                </c:pt>
                <c:pt idx="1">
                  <c:v>1.4240820312500002</c:v>
                </c:pt>
                <c:pt idx="2">
                  <c:v>1.4941064453125004</c:v>
                </c:pt>
                <c:pt idx="3">
                  <c:v>1.5641308593750005</c:v>
                </c:pt>
                <c:pt idx="4">
                  <c:v>1.6341552734375007</c:v>
                </c:pt>
                <c:pt idx="5">
                  <c:v>1.7041796875000008</c:v>
                </c:pt>
                <c:pt idx="6">
                  <c:v>1.7742041015625007</c:v>
                </c:pt>
                <c:pt idx="7">
                  <c:v>1.8442285156250011</c:v>
                </c:pt>
                <c:pt idx="8">
                  <c:v>1.914252929687501</c:v>
                </c:pt>
                <c:pt idx="9">
                  <c:v>1.9842773437500014</c:v>
                </c:pt>
                <c:pt idx="10">
                  <c:v>2.0543017578125014</c:v>
                </c:pt>
                <c:pt idx="11">
                  <c:v>2.1243261718750017</c:v>
                </c:pt>
                <c:pt idx="12">
                  <c:v>2.1943505859375021</c:v>
                </c:pt>
                <c:pt idx="13">
                  <c:v>2.264375000000002</c:v>
                </c:pt>
                <c:pt idx="14">
                  <c:v>2.334399414062502</c:v>
                </c:pt>
              </c:numCache>
            </c:numRef>
          </c:val>
        </c:ser>
        <c:hiLowLines/>
        <c:marker val="1"/>
        <c:axId val="117432704"/>
        <c:axId val="117434624"/>
      </c:lineChart>
      <c:catAx>
        <c:axId val="117432704"/>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117434624"/>
        <c:crosses val="autoZero"/>
        <c:auto val="1"/>
        <c:lblAlgn val="ctr"/>
        <c:lblOffset val="100"/>
      </c:catAx>
      <c:valAx>
        <c:axId val="117434624"/>
        <c:scaling>
          <c:orientation val="minMax"/>
          <c:min val="1"/>
        </c:scaling>
        <c:axPos val="l"/>
        <c:majorGridlines/>
        <c:title>
          <c:tx>
            <c:rich>
              <a:bodyPr/>
              <a:lstStyle/>
              <a:p>
                <a:pPr>
                  <a:defRPr/>
                </a:pPr>
                <a:r>
                  <a:rPr lang="en-US"/>
                  <a:t>Memory</a:t>
                </a:r>
                <a:r>
                  <a:rPr lang="en-US" baseline="0"/>
                  <a:t> Utilization (GB)</a:t>
                </a:r>
                <a:endParaRPr lang="en-US"/>
              </a:p>
            </c:rich>
          </c:tx>
        </c:title>
        <c:numFmt formatCode="General" sourceLinked="1"/>
        <c:tickLblPos val="nextTo"/>
        <c:crossAx val="117432704"/>
        <c:crosses val="autoZero"/>
        <c:crossBetween val="between"/>
      </c:valAx>
    </c:plotArea>
    <c:legend>
      <c:legendPos val="r"/>
    </c:legend>
    <c:plotVisOnly val="1"/>
  </c:chart>
  <c:printSettings>
    <c:headerFooter/>
    <c:pageMargins b="0.750000000000002" l="0.70000000000000062" r="0.70000000000000062" t="0.75000000000000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 CPU Utilization</a:t>
            </a:r>
          </a:p>
        </c:rich>
      </c:tx>
    </c:title>
    <c:plotArea>
      <c:layout/>
      <c:lineChart>
        <c:grouping val="standard"/>
        <c:ser>
          <c:idx val="0"/>
          <c:order val="0"/>
          <c:tx>
            <c:strRef>
              <c:f>Values!$AQ$25</c:f>
              <c:strCache>
                <c:ptCount val="1"/>
                <c:pt idx="0">
                  <c:v>5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Values!$AQ$26:$AQ$34</c:f>
              <c:numCache>
                <c:formatCode>General</c:formatCode>
                <c:ptCount val="9"/>
                <c:pt idx="0">
                  <c:v>7.2281790511431199</c:v>
                </c:pt>
                <c:pt idx="1">
                  <c:v>33.145695255715601</c:v>
                </c:pt>
                <c:pt idx="2">
                  <c:v>65.5425905114312</c:v>
                </c:pt>
                <c:pt idx="3">
                  <c:v>97.939485767146806</c:v>
                </c:pt>
                <c:pt idx="4">
                  <c:v>130.33638102286241</c:v>
                </c:pt>
                <c:pt idx="5">
                  <c:v>162.73327627857802</c:v>
                </c:pt>
                <c:pt idx="6">
                  <c:v>195.13017153429359</c:v>
                </c:pt>
                <c:pt idx="7">
                  <c:v>227.5270667900092</c:v>
                </c:pt>
                <c:pt idx="8">
                  <c:v>259.92396204572481</c:v>
                </c:pt>
              </c:numCache>
            </c:numRef>
          </c:val>
        </c:ser>
        <c:ser>
          <c:idx val="1"/>
          <c:order val="1"/>
          <c:tx>
            <c:strRef>
              <c:f>Values!$AR$25</c:f>
              <c:strCache>
                <c:ptCount val="1"/>
                <c:pt idx="0">
                  <c:v>3 engines</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Values!$AR$26:$AR$34</c:f>
              <c:numCache>
                <c:formatCode>General</c:formatCode>
                <c:ptCount val="9"/>
                <c:pt idx="0">
                  <c:v>5.1901101175551654</c:v>
                </c:pt>
                <c:pt idx="1">
                  <c:v>17.558550587775827</c:v>
                </c:pt>
                <c:pt idx="2">
                  <c:v>33.019101175551654</c:v>
                </c:pt>
                <c:pt idx="3">
                  <c:v>48.479651763327489</c:v>
                </c:pt>
                <c:pt idx="4">
                  <c:v>63.940202351103309</c:v>
                </c:pt>
                <c:pt idx="5">
                  <c:v>79.400752938879137</c:v>
                </c:pt>
                <c:pt idx="6">
                  <c:v>94.861303526654979</c:v>
                </c:pt>
                <c:pt idx="7">
                  <c:v>110.32185411443079</c:v>
                </c:pt>
                <c:pt idx="8">
                  <c:v>125.78240470220661</c:v>
                </c:pt>
              </c:numCache>
            </c:numRef>
          </c:val>
        </c:ser>
        <c:ser>
          <c:idx val="2"/>
          <c:order val="2"/>
          <c:tx>
            <c:strRef>
              <c:f>Values!$AS$25</c:f>
              <c:strCache>
                <c:ptCount val="1"/>
                <c:pt idx="0">
                  <c:v>1 engine</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Values!$AS$26:$AS$34</c:f>
              <c:numCache>
                <c:formatCode>General</c:formatCode>
                <c:ptCount val="9"/>
                <c:pt idx="0">
                  <c:v>3.9325840959237461</c:v>
                </c:pt>
                <c:pt idx="1">
                  <c:v>15.253320479618729</c:v>
                </c:pt>
                <c:pt idx="2">
                  <c:v>29.404240959237463</c:v>
                </c:pt>
                <c:pt idx="3">
                  <c:v>43.555161438856203</c:v>
                </c:pt>
                <c:pt idx="4">
                  <c:v>57.706081918474922</c:v>
                </c:pt>
                <c:pt idx="5">
                  <c:v>71.85700239809367</c:v>
                </c:pt>
                <c:pt idx="6">
                  <c:v>86.007922877712403</c:v>
                </c:pt>
                <c:pt idx="7">
                  <c:v>100.15884335733112</c:v>
                </c:pt>
                <c:pt idx="8">
                  <c:v>114.30976383694986</c:v>
                </c:pt>
              </c:numCache>
            </c:numRef>
          </c:val>
        </c:ser>
        <c:ser>
          <c:idx val="3"/>
          <c:order val="3"/>
          <c:tx>
            <c:strRef>
              <c:f>Values!$AT$25</c:f>
              <c:strCache>
                <c:ptCount val="1"/>
                <c:pt idx="0">
                  <c:v>Exchange only</c:v>
                </c:pt>
              </c:strCache>
            </c:strRef>
          </c:tx>
          <c:marker>
            <c:symbol val="none"/>
          </c:marker>
          <c:cat>
            <c:numRef>
              <c:f>Values!$AP$26:$AP$34</c:f>
              <c:numCache>
                <c:formatCode>0</c:formatCode>
                <c:ptCount val="9"/>
                <c:pt idx="0">
                  <c:v>1</c:v>
                </c:pt>
                <c:pt idx="1">
                  <c:v>5</c:v>
                </c:pt>
                <c:pt idx="2">
                  <c:v>10</c:v>
                </c:pt>
                <c:pt idx="3">
                  <c:v>15</c:v>
                </c:pt>
                <c:pt idx="4">
                  <c:v>20</c:v>
                </c:pt>
                <c:pt idx="5">
                  <c:v>25</c:v>
                </c:pt>
                <c:pt idx="6">
                  <c:v>30</c:v>
                </c:pt>
                <c:pt idx="7">
                  <c:v>35</c:v>
                </c:pt>
                <c:pt idx="8">
                  <c:v>40</c:v>
                </c:pt>
              </c:numCache>
            </c:numRef>
          </c:cat>
          <c:val>
            <c:numRef>
              <c:f>Values!$AT$26:$AT$34</c:f>
              <c:numCache>
                <c:formatCode>General</c:formatCode>
                <c:ptCount val="9"/>
                <c:pt idx="0">
                  <c:v>1.1727628312627449</c:v>
                </c:pt>
                <c:pt idx="1">
                  <c:v>4.1678093461871422</c:v>
                </c:pt>
                <c:pt idx="2">
                  <c:v>7.911617489842639</c:v>
                </c:pt>
                <c:pt idx="3">
                  <c:v>11.655425633498137</c:v>
                </c:pt>
                <c:pt idx="4">
                  <c:v>15.399233777153633</c:v>
                </c:pt>
                <c:pt idx="5">
                  <c:v>19.143041920809132</c:v>
                </c:pt>
                <c:pt idx="6">
                  <c:v>22.886850064464632</c:v>
                </c:pt>
                <c:pt idx="7">
                  <c:v>26.630658208120124</c:v>
                </c:pt>
                <c:pt idx="8">
                  <c:v>30.37446635177562</c:v>
                </c:pt>
              </c:numCache>
            </c:numRef>
          </c:val>
        </c:ser>
        <c:hiLowLines/>
        <c:marker val="1"/>
        <c:axId val="118871168"/>
        <c:axId val="118873088"/>
      </c:lineChart>
      <c:catAx>
        <c:axId val="118871168"/>
        <c:scaling>
          <c:orientation val="minMax"/>
        </c:scaling>
        <c:axPos val="b"/>
        <c:minorGridlines/>
        <c:title>
          <c:tx>
            <c:rich>
              <a:bodyPr/>
              <a:lstStyle/>
              <a:p>
                <a:pPr>
                  <a:defRPr/>
                </a:pPr>
                <a:r>
                  <a:rPr lang="en-US"/>
                  <a:t>Message Rate (messages/second)</a:t>
                </a:r>
              </a:p>
            </c:rich>
          </c:tx>
        </c:title>
        <c:numFmt formatCode="0" sourceLinked="1"/>
        <c:majorTickMark val="none"/>
        <c:tickLblPos val="nextTo"/>
        <c:crossAx val="118873088"/>
        <c:crosses val="autoZero"/>
        <c:auto val="1"/>
        <c:lblAlgn val="ctr"/>
        <c:lblOffset val="100"/>
      </c:catAx>
      <c:valAx>
        <c:axId val="118873088"/>
        <c:scaling>
          <c:orientation val="minMax"/>
        </c:scaling>
        <c:axPos val="l"/>
        <c:majorGridlines/>
        <c:title>
          <c:tx>
            <c:rich>
              <a:bodyPr/>
              <a:lstStyle/>
              <a:p>
                <a:pPr>
                  <a:defRPr/>
                </a:pPr>
                <a:r>
                  <a:rPr lang="en-US"/>
                  <a:t>% Utilization</a:t>
                </a:r>
              </a:p>
            </c:rich>
          </c:tx>
        </c:title>
        <c:numFmt formatCode="General" sourceLinked="1"/>
        <c:tickLblPos val="nextTo"/>
        <c:crossAx val="118871168"/>
        <c:crosses val="autoZero"/>
        <c:crossBetween val="between"/>
      </c:valAx>
    </c:plotArea>
    <c:legend>
      <c:legendPos val="r"/>
    </c:legend>
    <c:plotVisOnly val="1"/>
  </c:chart>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Edge Server:</a:t>
            </a:r>
            <a:r>
              <a:rPr lang="en-US" baseline="0"/>
              <a:t> Memory Utilization</a:t>
            </a:r>
            <a:endParaRPr lang="en-US"/>
          </a:p>
        </c:rich>
      </c:tx>
    </c:title>
    <c:plotArea>
      <c:layout/>
      <c:lineChart>
        <c:grouping val="standard"/>
        <c:ser>
          <c:idx val="0"/>
          <c:order val="0"/>
          <c:tx>
            <c:strRef>
              <c:f>Values!$AV$25</c:f>
              <c:strCache>
                <c:ptCount val="1"/>
                <c:pt idx="0">
                  <c:v>5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Values!$AV$26:$AV$34</c:f>
              <c:numCache>
                <c:formatCode>0.000</c:formatCode>
                <c:ptCount val="9"/>
                <c:pt idx="0">
                  <c:v>2.5060199834410817</c:v>
                </c:pt>
                <c:pt idx="1">
                  <c:v>2.5060239668821627</c:v>
                </c:pt>
                <c:pt idx="2">
                  <c:v>2.5060279503232445</c:v>
                </c:pt>
                <c:pt idx="3">
                  <c:v>2.506031933764326</c:v>
                </c:pt>
                <c:pt idx="4">
                  <c:v>2.5060359172054074</c:v>
                </c:pt>
                <c:pt idx="5">
                  <c:v>2.5060399006464893</c:v>
                </c:pt>
                <c:pt idx="6">
                  <c:v>2.5060438840875707</c:v>
                </c:pt>
                <c:pt idx="7">
                  <c:v>2.5060478675286522</c:v>
                </c:pt>
                <c:pt idx="8">
                  <c:v>2.5060518509697336</c:v>
                </c:pt>
              </c:numCache>
            </c:numRef>
          </c:val>
        </c:ser>
        <c:ser>
          <c:idx val="1"/>
          <c:order val="1"/>
          <c:tx>
            <c:strRef>
              <c:f>Values!$AW$25</c:f>
              <c:strCache>
                <c:ptCount val="1"/>
                <c:pt idx="0">
                  <c:v>3 engines</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Values!$AW$26:$AW$34</c:f>
              <c:numCache>
                <c:formatCode>0.000</c:formatCode>
                <c:ptCount val="9"/>
                <c:pt idx="0">
                  <c:v>2.1224072797368034</c:v>
                </c:pt>
                <c:pt idx="1">
                  <c:v>2.1224105594736069</c:v>
                </c:pt>
                <c:pt idx="2">
                  <c:v>2.1224138392104108</c:v>
                </c:pt>
                <c:pt idx="3">
                  <c:v>2.1224171189472143</c:v>
                </c:pt>
                <c:pt idx="4">
                  <c:v>2.1224203986840178</c:v>
                </c:pt>
                <c:pt idx="5">
                  <c:v>2.1224236784208212</c:v>
                </c:pt>
                <c:pt idx="6">
                  <c:v>2.1224269581576252</c:v>
                </c:pt>
                <c:pt idx="7">
                  <c:v>2.1224302378944286</c:v>
                </c:pt>
                <c:pt idx="8">
                  <c:v>2.1224335176312321</c:v>
                </c:pt>
              </c:numCache>
            </c:numRef>
          </c:val>
        </c:ser>
        <c:ser>
          <c:idx val="2"/>
          <c:order val="2"/>
          <c:tx>
            <c:strRef>
              <c:f>Values!$AX$25</c:f>
              <c:strCache>
                <c:ptCount val="1"/>
                <c:pt idx="0">
                  <c:v>1 engine</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Values!$AX$26:$AX$34</c:f>
              <c:numCache>
                <c:formatCode>0.000</c:formatCode>
                <c:ptCount val="9"/>
                <c:pt idx="0">
                  <c:v>1.9001574096211167</c:v>
                </c:pt>
                <c:pt idx="1">
                  <c:v>1.9001588192422332</c:v>
                </c:pt>
                <c:pt idx="2">
                  <c:v>1.9001602288633499</c:v>
                </c:pt>
                <c:pt idx="3">
                  <c:v>1.9001616384844664</c:v>
                </c:pt>
                <c:pt idx="4">
                  <c:v>1.9001630481055829</c:v>
                </c:pt>
                <c:pt idx="5">
                  <c:v>1.9001644577266992</c:v>
                </c:pt>
                <c:pt idx="6">
                  <c:v>1.9001658673478159</c:v>
                </c:pt>
                <c:pt idx="7">
                  <c:v>1.9001672769689324</c:v>
                </c:pt>
                <c:pt idx="8">
                  <c:v>1.9001686865900489</c:v>
                </c:pt>
              </c:numCache>
            </c:numRef>
          </c:val>
        </c:ser>
        <c:ser>
          <c:idx val="3"/>
          <c:order val="3"/>
          <c:tx>
            <c:strRef>
              <c:f>Values!$AY$25</c:f>
              <c:strCache>
                <c:ptCount val="1"/>
                <c:pt idx="0">
                  <c:v>Exchange only</c:v>
                </c:pt>
              </c:strCache>
            </c:strRef>
          </c:tx>
          <c:marker>
            <c:symbol val="none"/>
          </c:marker>
          <c:cat>
            <c:numRef>
              <c:f>Values!$AU$26:$AU$34</c:f>
              <c:numCache>
                <c:formatCode>0</c:formatCode>
                <c:ptCount val="9"/>
                <c:pt idx="0">
                  <c:v>1</c:v>
                </c:pt>
                <c:pt idx="1">
                  <c:v>5</c:v>
                </c:pt>
                <c:pt idx="2">
                  <c:v>10</c:v>
                </c:pt>
                <c:pt idx="3">
                  <c:v>15</c:v>
                </c:pt>
                <c:pt idx="4">
                  <c:v>20</c:v>
                </c:pt>
                <c:pt idx="5">
                  <c:v>25</c:v>
                </c:pt>
                <c:pt idx="6">
                  <c:v>30</c:v>
                </c:pt>
                <c:pt idx="7">
                  <c:v>35</c:v>
                </c:pt>
                <c:pt idx="8">
                  <c:v>40</c:v>
                </c:pt>
              </c:numCache>
            </c:numRef>
          </c:cat>
          <c:val>
            <c:numRef>
              <c:f>Values!$AY$26:$AY$34</c:f>
              <c:numCache>
                <c:formatCode>0.000</c:formatCode>
                <c:ptCount val="9"/>
                <c:pt idx="0">
                  <c:v>1.535257792965196</c:v>
                </c:pt>
                <c:pt idx="1">
                  <c:v>1.535887585930392</c:v>
                </c:pt>
                <c:pt idx="2">
                  <c:v>1.5365173788955879</c:v>
                </c:pt>
                <c:pt idx="3">
                  <c:v>1.5371471718607839</c:v>
                </c:pt>
                <c:pt idx="4">
                  <c:v>1.5377769648259798</c:v>
                </c:pt>
                <c:pt idx="5">
                  <c:v>1.5384067577911755</c:v>
                </c:pt>
                <c:pt idx="6">
                  <c:v>1.5390365507563717</c:v>
                </c:pt>
                <c:pt idx="7">
                  <c:v>1.5396663437215676</c:v>
                </c:pt>
                <c:pt idx="8">
                  <c:v>1.5402961366867636</c:v>
                </c:pt>
              </c:numCache>
            </c:numRef>
          </c:val>
        </c:ser>
        <c:hiLowLines/>
        <c:marker val="1"/>
        <c:axId val="118920704"/>
        <c:axId val="118922624"/>
      </c:lineChart>
      <c:catAx>
        <c:axId val="118920704"/>
        <c:scaling>
          <c:orientation val="minMax"/>
        </c:scaling>
        <c:axPos val="b"/>
        <c:minorGridlines/>
        <c:title>
          <c:tx>
            <c:rich>
              <a:bodyPr/>
              <a:lstStyle/>
              <a:p>
                <a:pPr>
                  <a:defRPr/>
                </a:pPr>
                <a:r>
                  <a:rPr lang="en-US"/>
                  <a:t>Message Rate (messages/second)</a:t>
                </a:r>
              </a:p>
            </c:rich>
          </c:tx>
        </c:title>
        <c:numFmt formatCode="0" sourceLinked="1"/>
        <c:majorTickMark val="none"/>
        <c:tickLblPos val="nextTo"/>
        <c:crossAx val="118922624"/>
        <c:crosses val="autoZero"/>
        <c:auto val="1"/>
        <c:lblAlgn val="ctr"/>
        <c:lblOffset val="100"/>
      </c:catAx>
      <c:valAx>
        <c:axId val="118922624"/>
        <c:scaling>
          <c:orientation val="minMax"/>
          <c:min val="1.5"/>
        </c:scaling>
        <c:axPos val="l"/>
        <c:majorGridlines/>
        <c:title>
          <c:tx>
            <c:rich>
              <a:bodyPr/>
              <a:lstStyle/>
              <a:p>
                <a:pPr>
                  <a:defRPr/>
                </a:pPr>
                <a:r>
                  <a:rPr lang="en-US"/>
                  <a:t>Memory</a:t>
                </a:r>
                <a:r>
                  <a:rPr lang="en-US" baseline="0"/>
                  <a:t> Utilization (GB)</a:t>
                </a:r>
                <a:endParaRPr lang="en-US"/>
              </a:p>
            </c:rich>
          </c:tx>
        </c:title>
        <c:numFmt formatCode="0.0" sourceLinked="0"/>
        <c:tickLblPos val="nextTo"/>
        <c:crossAx val="118920704"/>
        <c:crosses val="autoZero"/>
        <c:crossBetween val="between"/>
      </c:valAx>
    </c:plotArea>
    <c:legend>
      <c:legendPos val="r"/>
    </c:legend>
    <c:plotVisOnly val="1"/>
  </c:chart>
  <c:printSettings>
    <c:headerFooter/>
    <c:pageMargins b="0.75000000000000211" l="0.70000000000000062" r="0.70000000000000062" t="0.750000000000002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Mailbox Server:</a:t>
            </a:r>
            <a:r>
              <a:rPr lang="en-US" baseline="0"/>
              <a:t> Memory Utilization</a:t>
            </a:r>
            <a:endParaRPr lang="en-US"/>
          </a:p>
        </c:rich>
      </c:tx>
    </c:title>
    <c:plotArea>
      <c:layout/>
      <c:lineChart>
        <c:grouping val="standard"/>
        <c:ser>
          <c:idx val="0"/>
          <c:order val="0"/>
          <c:tx>
            <c:strRef>
              <c:f>Values!$BZ$25</c:f>
              <c:strCache>
                <c:ptCount val="1"/>
                <c:pt idx="0">
                  <c:v>5 engines</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Values!$BZ$26:$BZ$30</c:f>
              <c:numCache>
                <c:formatCode>General</c:formatCode>
                <c:ptCount val="5"/>
                <c:pt idx="0">
                  <c:v>5.1086172949218751</c:v>
                </c:pt>
                <c:pt idx="1">
                  <c:v>8.526586044921876</c:v>
                </c:pt>
                <c:pt idx="2">
                  <c:v>11.944554794921876</c:v>
                </c:pt>
                <c:pt idx="3">
                  <c:v>15.362523544921876</c:v>
                </c:pt>
                <c:pt idx="4">
                  <c:v>18.780492294921874</c:v>
                </c:pt>
              </c:numCache>
            </c:numRef>
          </c:val>
        </c:ser>
        <c:ser>
          <c:idx val="1"/>
          <c:order val="1"/>
          <c:tx>
            <c:strRef>
              <c:f>Values!$CA$25</c:f>
              <c:strCache>
                <c:ptCount val="1"/>
                <c:pt idx="0">
                  <c:v>3 engines</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Values!$CA$26:$CA$30</c:f>
              <c:numCache>
                <c:formatCode>General</c:formatCode>
                <c:ptCount val="5"/>
                <c:pt idx="0">
                  <c:v>4.7245550390624995</c:v>
                </c:pt>
                <c:pt idx="1">
                  <c:v>8.1425237890625013</c:v>
                </c:pt>
                <c:pt idx="2">
                  <c:v>11.560492539062501</c:v>
                </c:pt>
                <c:pt idx="3">
                  <c:v>14.978461289062501</c:v>
                </c:pt>
                <c:pt idx="4">
                  <c:v>18.396430039062498</c:v>
                </c:pt>
              </c:numCache>
            </c:numRef>
          </c:val>
        </c:ser>
        <c:ser>
          <c:idx val="2"/>
          <c:order val="2"/>
          <c:tx>
            <c:strRef>
              <c:f>Values!$CB$25</c:f>
              <c:strCache>
                <c:ptCount val="1"/>
                <c:pt idx="0">
                  <c:v>1 engine</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Values!$CB$26:$CB$30</c:f>
              <c:numCache>
                <c:formatCode>General</c:formatCode>
                <c:ptCount val="5"/>
                <c:pt idx="0">
                  <c:v>4.6126186914062499</c:v>
                </c:pt>
                <c:pt idx="1">
                  <c:v>8.0305874414062508</c:v>
                </c:pt>
                <c:pt idx="2">
                  <c:v>11.448556191406251</c:v>
                </c:pt>
                <c:pt idx="3">
                  <c:v>14.866524941406251</c:v>
                </c:pt>
                <c:pt idx="4">
                  <c:v>18.284493691406251</c:v>
                </c:pt>
              </c:numCache>
            </c:numRef>
          </c:val>
        </c:ser>
        <c:ser>
          <c:idx val="3"/>
          <c:order val="3"/>
          <c:tx>
            <c:strRef>
              <c:f>Values!$CC$25</c:f>
              <c:strCache>
                <c:ptCount val="1"/>
                <c:pt idx="0">
                  <c:v>Exchange only</c:v>
                </c:pt>
              </c:strCache>
            </c:strRef>
          </c:tx>
          <c:marker>
            <c:symbol val="none"/>
          </c:marker>
          <c:cat>
            <c:numRef>
              <c:f>Values!$BY$26:$BY$30</c:f>
              <c:numCache>
                <c:formatCode>General</c:formatCode>
                <c:ptCount val="5"/>
                <c:pt idx="0">
                  <c:v>2000</c:v>
                </c:pt>
                <c:pt idx="1">
                  <c:v>4000</c:v>
                </c:pt>
                <c:pt idx="2">
                  <c:v>6000</c:v>
                </c:pt>
                <c:pt idx="3">
                  <c:v>8000</c:v>
                </c:pt>
                <c:pt idx="4">
                  <c:v>10000</c:v>
                </c:pt>
              </c:numCache>
            </c:numRef>
          </c:cat>
          <c:val>
            <c:numRef>
              <c:f>Values!$CC$26:$CC$30</c:f>
              <c:numCache>
                <c:formatCode>General</c:formatCode>
                <c:ptCount val="5"/>
                <c:pt idx="0">
                  <c:v>4.41796875</c:v>
                </c:pt>
                <c:pt idx="1">
                  <c:v>7.8359375</c:v>
                </c:pt>
                <c:pt idx="2">
                  <c:v>11.25390625</c:v>
                </c:pt>
                <c:pt idx="3">
                  <c:v>14.671875</c:v>
                </c:pt>
                <c:pt idx="4">
                  <c:v>18.08984375</c:v>
                </c:pt>
              </c:numCache>
            </c:numRef>
          </c:val>
        </c:ser>
        <c:hiLowLines/>
        <c:marker val="1"/>
        <c:axId val="119134464"/>
        <c:axId val="119275904"/>
      </c:lineChart>
      <c:catAx>
        <c:axId val="119134464"/>
        <c:scaling>
          <c:orientation val="minMax"/>
        </c:scaling>
        <c:axPos val="b"/>
        <c:minorGridlines/>
        <c:title>
          <c:tx>
            <c:rich>
              <a:bodyPr/>
              <a:lstStyle/>
              <a:p>
                <a:pPr>
                  <a:defRPr/>
                </a:pPr>
                <a:r>
                  <a:rPr lang="en-US"/>
                  <a:t>Number of Mailboxes</a:t>
                </a:r>
              </a:p>
            </c:rich>
          </c:tx>
        </c:title>
        <c:numFmt formatCode="General" sourceLinked="1"/>
        <c:majorTickMark val="none"/>
        <c:tickLblPos val="nextTo"/>
        <c:crossAx val="119275904"/>
        <c:crosses val="autoZero"/>
        <c:auto val="1"/>
        <c:lblAlgn val="ctr"/>
        <c:lblOffset val="100"/>
      </c:catAx>
      <c:valAx>
        <c:axId val="119275904"/>
        <c:scaling>
          <c:orientation val="minMax"/>
          <c:min val="4"/>
        </c:scaling>
        <c:axPos val="l"/>
        <c:majorGridlines/>
        <c:title>
          <c:tx>
            <c:rich>
              <a:bodyPr/>
              <a:lstStyle/>
              <a:p>
                <a:pPr>
                  <a:defRPr/>
                </a:pPr>
                <a:r>
                  <a:rPr lang="en-US"/>
                  <a:t>Memory Utilization (GB)</a:t>
                </a:r>
              </a:p>
            </c:rich>
          </c:tx>
        </c:title>
        <c:numFmt formatCode="General" sourceLinked="1"/>
        <c:tickLblPos val="nextTo"/>
        <c:crossAx val="119134464"/>
        <c:crosses val="autoZero"/>
        <c:crossBetween val="between"/>
      </c:valAx>
    </c:plotArea>
    <c:legend>
      <c:legendPos val="r"/>
    </c:legend>
    <c:plotVisOnly val="1"/>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Start!A1"/><Relationship Id="rId7" Type="http://schemas.openxmlformats.org/officeDocument/2006/relationships/hyperlink" Target="#'New ERA Recommendations'!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ERA Environment'!A1"/><Relationship Id="rId5" Type="http://schemas.openxmlformats.org/officeDocument/2006/relationships/hyperlink" Target="#'New ERA Settings'!A1"/><Relationship Id="rId4" Type="http://schemas.openxmlformats.org/officeDocument/2006/relationships/hyperlink" Target="#Scenario!A1"/></Relationships>
</file>

<file path=xl/drawings/_rels/drawing1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Start!A1"/><Relationship Id="rId7" Type="http://schemas.openxmlformats.org/officeDocument/2006/relationships/chart" Target="../charts/chart2.xm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hyperlink" Target="#'Existing SRA Recommendations'!A1"/><Relationship Id="rId4" Type="http://schemas.openxmlformats.org/officeDocument/2006/relationships/hyperlink" Target="#Scenario!A1"/><Relationship Id="rId9"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hyperlink" Target="#Start!A1"/><Relationship Id="rId7" Type="http://schemas.openxmlformats.org/officeDocument/2006/relationships/chart" Target="../charts/chart6.xm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hyperlink" Target="#'Existing ERA Recommendations'!A1"/><Relationship Id="rId10" Type="http://schemas.openxmlformats.org/officeDocument/2006/relationships/chart" Target="../charts/chart9.xml"/><Relationship Id="rId4" Type="http://schemas.openxmlformats.org/officeDocument/2006/relationships/hyperlink" Target="#Scenario!A1"/><Relationship Id="rId9"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Start!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18" Type="http://schemas.openxmlformats.org/officeDocument/2006/relationships/chart" Target="../charts/chart28.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chart" Target="../charts/chart27.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Scenario!A1"/><Relationship Id="rId2" Type="http://schemas.openxmlformats.org/officeDocument/2006/relationships/image" Target="../media/image2.gi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Existing SRA Recommendations'!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ERA Settings'!A1"/><Relationship Id="rId5" Type="http://schemas.openxmlformats.org/officeDocument/2006/relationships/hyperlink" Target="#'New SRA Settings'!A1"/><Relationship Id="rId4" Type="http://schemas.openxmlformats.org/officeDocument/2006/relationships/hyperlink" Target="#'Existing ERA Recommendations'!A1"/></Relationships>
</file>

<file path=xl/drawings/_rels/drawing5.xml.rels><?xml version="1.0" encoding="UTF-8" standalone="yes"?>
<Relationships xmlns="http://schemas.openxmlformats.org/package/2006/relationships"><Relationship Id="rId8" Type="http://schemas.openxmlformats.org/officeDocument/2006/relationships/hyperlink" Target="#'New SRA Recommendations'!A1"/><Relationship Id="rId3" Type="http://schemas.openxmlformats.org/officeDocument/2006/relationships/hyperlink" Target="#Start!A1"/><Relationship Id="rId7" Type="http://schemas.openxmlformats.org/officeDocument/2006/relationships/hyperlink" Target="#'New SRA Environment'!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SRA Environment'!A1"/><Relationship Id="rId5" Type="http://schemas.openxmlformats.org/officeDocument/2006/relationships/hyperlink" Target="#'New SRA Settings'!A1"/><Relationship Id="rId4" Type="http://schemas.openxmlformats.org/officeDocument/2006/relationships/hyperlink" Target="#Scenario!A1"/></Relationships>
</file>

<file path=xl/drawings/_rels/drawing6.xml.rels><?xml version="1.0" encoding="UTF-8" standalone="yes"?>
<Relationships xmlns="http://schemas.openxmlformats.org/package/2006/relationships"><Relationship Id="rId8" Type="http://schemas.openxmlformats.org/officeDocument/2006/relationships/hyperlink" Target="#'New SRA Recommendations'!A1"/><Relationship Id="rId3" Type="http://schemas.openxmlformats.org/officeDocument/2006/relationships/hyperlink" Target="#'New SRA Recommendations'!A1"/><Relationship Id="rId7" Type="http://schemas.openxmlformats.org/officeDocument/2006/relationships/hyperlink" Target="#'New SRA Environment'!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SRA Settings'!A1"/><Relationship Id="rId5" Type="http://schemas.openxmlformats.org/officeDocument/2006/relationships/hyperlink" Target="#Scenario!A1"/><Relationship Id="rId4" Type="http://schemas.openxmlformats.org/officeDocument/2006/relationships/hyperlink" Target="#Start!A1"/></Relationships>
</file>

<file path=xl/drawings/_rels/drawing7.xml.rels><?xml version="1.0" encoding="UTF-8" standalone="yes"?>
<Relationships xmlns="http://schemas.openxmlformats.org/package/2006/relationships"><Relationship Id="rId3" Type="http://schemas.openxmlformats.org/officeDocument/2006/relationships/hyperlink" Target="#Start!A1"/><Relationship Id="rId7" Type="http://schemas.openxmlformats.org/officeDocument/2006/relationships/hyperlink" Target="#'New SRA Recommendations'!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SRA Environment'!A1"/><Relationship Id="rId5" Type="http://schemas.openxmlformats.org/officeDocument/2006/relationships/hyperlink" Target="#'New SRA Settings'!A1"/><Relationship Id="rId4" Type="http://schemas.openxmlformats.org/officeDocument/2006/relationships/hyperlink" Target="#Scenario!A1"/></Relationships>
</file>

<file path=xl/drawings/_rels/drawing8.xml.rels><?xml version="1.0" encoding="UTF-8" standalone="yes"?>
<Relationships xmlns="http://schemas.openxmlformats.org/package/2006/relationships"><Relationship Id="rId8" Type="http://schemas.openxmlformats.org/officeDocument/2006/relationships/hyperlink" Target="#'New ERA Recommendations'!A1"/><Relationship Id="rId3" Type="http://schemas.openxmlformats.org/officeDocument/2006/relationships/hyperlink" Target="#Start!A1"/><Relationship Id="rId7" Type="http://schemas.openxmlformats.org/officeDocument/2006/relationships/hyperlink" Target="#'New ERA Environment'!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ERA Environment'!A1"/><Relationship Id="rId5" Type="http://schemas.openxmlformats.org/officeDocument/2006/relationships/hyperlink" Target="#'New ERA Settings'!A1"/><Relationship Id="rId4" Type="http://schemas.openxmlformats.org/officeDocument/2006/relationships/hyperlink" Target="#Scenario!A1"/></Relationships>
</file>

<file path=xl/drawings/_rels/drawing9.xml.rels><?xml version="1.0" encoding="UTF-8" standalone="yes"?>
<Relationships xmlns="http://schemas.openxmlformats.org/package/2006/relationships"><Relationship Id="rId8" Type="http://schemas.openxmlformats.org/officeDocument/2006/relationships/hyperlink" Target="#'New ERA Recommendations'!A1"/><Relationship Id="rId3" Type="http://schemas.openxmlformats.org/officeDocument/2006/relationships/hyperlink" Target="#'New ERA Recommendations'!A1"/><Relationship Id="rId7" Type="http://schemas.openxmlformats.org/officeDocument/2006/relationships/hyperlink" Target="#'New ERA Environment'!A1"/><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hyperlink" Target="#'New ERA Settings'!A1"/><Relationship Id="rId5" Type="http://schemas.openxmlformats.org/officeDocument/2006/relationships/hyperlink" Target="#Scenario!A1"/><Relationship Id="rId4" Type="http://schemas.openxmlformats.org/officeDocument/2006/relationships/hyperlink" Target="#Start!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590551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 y="0"/>
          <a:ext cx="8515350" cy="1219200"/>
        </a:xfrm>
        <a:prstGeom prst="rect">
          <a:avLst/>
        </a:prstGeom>
        <a:noFill/>
      </xdr:spPr>
    </xdr:pic>
    <xdr:clientData/>
  </xdr:twoCellAnchor>
  <xdr:oneCellAnchor>
    <xdr:from>
      <xdr:col>8</xdr:col>
      <xdr:colOff>438151</xdr:colOff>
      <xdr:row>2</xdr:row>
      <xdr:rowOff>19050</xdr:rowOff>
    </xdr:from>
    <xdr:ext cx="3200399" cy="468013"/>
    <xdr:sp macro="" textlink="">
      <xdr:nvSpPr>
        <xdr:cNvPr id="3" name="TextBox 2"/>
        <xdr:cNvSpPr txBox="1"/>
      </xdr:nvSpPr>
      <xdr:spPr>
        <a:xfrm>
          <a:off x="5314951" y="400050"/>
          <a:ext cx="3200399"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Capacity</a:t>
          </a:r>
          <a:r>
            <a:rPr lang="en-US" sz="2400" b="1" baseline="0"/>
            <a:t> Planning  Tool</a:t>
          </a:r>
        </a:p>
      </xdr:txBody>
    </xdr:sp>
    <xdr:clientData/>
  </xdr:oneCellAnchor>
  <xdr:oneCellAnchor>
    <xdr:from>
      <xdr:col>0</xdr:col>
      <xdr:colOff>133350</xdr:colOff>
      <xdr:row>5</xdr:row>
      <xdr:rowOff>133350</xdr:rowOff>
    </xdr:from>
    <xdr:ext cx="8601076" cy="2503506"/>
    <xdr:sp macro="" textlink="">
      <xdr:nvSpPr>
        <xdr:cNvPr id="4" name="TextBox 3"/>
        <xdr:cNvSpPr txBox="1"/>
      </xdr:nvSpPr>
      <xdr:spPr>
        <a:xfrm>
          <a:off x="133350" y="1085850"/>
          <a:ext cx="8601076" cy="250350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baseline="0"/>
        </a:p>
        <a:p>
          <a:r>
            <a:rPr lang="en-US" sz="1100" b="1" baseline="0">
              <a:solidFill>
                <a:schemeClr val="tx1"/>
              </a:solidFill>
              <a:latin typeface="+mn-lt"/>
              <a:ea typeface="+mn-ea"/>
              <a:cs typeface="+mn-cs"/>
            </a:rPr>
            <a:t>How to Use This Tool:</a:t>
          </a:r>
          <a:endParaRPr lang="en-US"/>
        </a:p>
        <a:p>
          <a:r>
            <a:rPr lang="en-US" sz="1100" baseline="0">
              <a:solidFill>
                <a:schemeClr val="tx1"/>
              </a:solidFill>
              <a:latin typeface="+mn-lt"/>
              <a:ea typeface="+mn-ea"/>
              <a:cs typeface="+mn-cs"/>
            </a:rPr>
            <a:t>This tool follows two basic scenarios: an existing Microsoft Exchange environment to which you want to add Microsoft Forefront Security for Exchange Server (FSE) and a new environment. </a:t>
          </a:r>
          <a:endParaRPr lang="en-US"/>
        </a:p>
        <a:p>
          <a:r>
            <a:rPr lang="en-US" sz="1100" baseline="0">
              <a:solidFill>
                <a:schemeClr val="tx1"/>
              </a:solidFill>
              <a:latin typeface="+mn-lt"/>
              <a:ea typeface="+mn-ea"/>
              <a:cs typeface="+mn-cs"/>
            </a:rPr>
            <a:t>  1) Read </a:t>
          </a:r>
          <a:r>
            <a:rPr lang="en-US" sz="1100" b="0" i="1" baseline="0">
              <a:solidFill>
                <a:schemeClr val="tx1"/>
              </a:solidFill>
              <a:latin typeface="+mn-lt"/>
              <a:ea typeface="+mn-ea"/>
              <a:cs typeface="+mn-cs"/>
            </a:rPr>
            <a:t>ALL </a:t>
          </a:r>
          <a:r>
            <a:rPr lang="en-US" sz="1100" baseline="0">
              <a:solidFill>
                <a:schemeClr val="tx1"/>
              </a:solidFill>
              <a:latin typeface="+mn-lt"/>
              <a:ea typeface="+mn-ea"/>
              <a:cs typeface="+mn-cs"/>
            </a:rPr>
            <a:t>of the </a:t>
          </a:r>
          <a:r>
            <a:rPr lang="en-US" sz="1100" b="1" baseline="0">
              <a:solidFill>
                <a:schemeClr val="tx1"/>
              </a:solidFill>
              <a:latin typeface="+mn-lt"/>
              <a:ea typeface="+mn-ea"/>
              <a:cs typeface="+mn-cs"/>
            </a:rPr>
            <a:t>README </a:t>
          </a:r>
          <a:r>
            <a:rPr lang="en-US" sz="1100" baseline="0">
              <a:solidFill>
                <a:schemeClr val="tx1"/>
              </a:solidFill>
              <a:latin typeface="+mn-lt"/>
              <a:ea typeface="+mn-ea"/>
              <a:cs typeface="+mn-cs"/>
            </a:rPr>
            <a:t>tab carefully.</a:t>
          </a:r>
        </a:p>
        <a:p>
          <a:r>
            <a:rPr lang="en-US" sz="1100" baseline="0">
              <a:solidFill>
                <a:schemeClr val="tx1"/>
              </a:solidFill>
              <a:latin typeface="+mn-lt"/>
              <a:ea typeface="+mn-ea"/>
              <a:cs typeface="+mn-cs"/>
            </a:rPr>
            <a:t>  2) Click the </a:t>
          </a:r>
          <a:r>
            <a:rPr lang="en-US" sz="1100" b="1" baseline="0">
              <a:solidFill>
                <a:schemeClr val="tx1"/>
              </a:solidFill>
              <a:latin typeface="+mn-lt"/>
              <a:ea typeface="+mn-ea"/>
              <a:cs typeface="+mn-cs"/>
            </a:rPr>
            <a:t>Start </a:t>
          </a:r>
          <a:r>
            <a:rPr lang="en-US" sz="1100" baseline="0">
              <a:solidFill>
                <a:schemeClr val="tx1"/>
              </a:solidFill>
              <a:latin typeface="+mn-lt"/>
              <a:ea typeface="+mn-ea"/>
              <a:cs typeface="+mn-cs"/>
            </a:rPr>
            <a:t>tab below and establish your server utilization preferences. </a:t>
          </a:r>
        </a:p>
        <a:p>
          <a:r>
            <a:rPr lang="en-US" sz="1100" baseline="0">
              <a:solidFill>
                <a:schemeClr val="tx1"/>
              </a:solidFill>
              <a:latin typeface="+mn-lt"/>
              <a:ea typeface="+mn-ea"/>
              <a:cs typeface="+mn-cs"/>
            </a:rPr>
            <a:t>  3) </a:t>
          </a:r>
          <a:r>
            <a:rPr lang="en-US" sz="1100">
              <a:solidFill>
                <a:schemeClr val="tx1"/>
              </a:solidFill>
              <a:latin typeface="+mn-lt"/>
              <a:ea typeface="+mn-ea"/>
              <a:cs typeface="+mn-cs"/>
            </a:rPr>
            <a:t>Click the </a:t>
          </a:r>
          <a:r>
            <a:rPr lang="en-US" sz="1100" b="1">
              <a:solidFill>
                <a:schemeClr val="tx1"/>
              </a:solidFill>
              <a:latin typeface="+mn-lt"/>
              <a:ea typeface="+mn-ea"/>
              <a:cs typeface="+mn-cs"/>
            </a:rPr>
            <a:t>Go to Next Step: Choose Your Scenario</a:t>
          </a:r>
          <a:r>
            <a:rPr lang="en-US" sz="1100">
              <a:solidFill>
                <a:schemeClr val="tx1"/>
              </a:solidFill>
              <a:latin typeface="+mn-lt"/>
              <a:ea typeface="+mn-ea"/>
              <a:cs typeface="+mn-cs"/>
            </a:rPr>
            <a:t> button to navigate to the </a:t>
          </a:r>
          <a:r>
            <a:rPr lang="en-US" sz="1100" b="1">
              <a:solidFill>
                <a:schemeClr val="tx1"/>
              </a:solidFill>
              <a:latin typeface="+mn-lt"/>
              <a:ea typeface="+mn-ea"/>
              <a:cs typeface="+mn-cs"/>
            </a:rPr>
            <a:t>Scenario </a:t>
          </a:r>
          <a:r>
            <a:rPr lang="en-US" sz="1100">
              <a:solidFill>
                <a:schemeClr val="tx1"/>
              </a:solidFill>
              <a:latin typeface="+mn-lt"/>
              <a:ea typeface="+mn-ea"/>
              <a:cs typeface="+mn-cs"/>
            </a:rPr>
            <a:t>tab. </a:t>
          </a:r>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  4) On the </a:t>
          </a:r>
          <a:r>
            <a:rPr lang="en-US" sz="1100" b="1" baseline="0">
              <a:solidFill>
                <a:schemeClr val="tx1"/>
              </a:solidFill>
              <a:latin typeface="+mn-lt"/>
              <a:ea typeface="+mn-ea"/>
              <a:cs typeface="+mn-cs"/>
            </a:rPr>
            <a:t>Scenario </a:t>
          </a:r>
          <a:r>
            <a:rPr lang="en-US" sz="1100" baseline="0">
              <a:solidFill>
                <a:schemeClr val="tx1"/>
              </a:solidFill>
              <a:latin typeface="+mn-lt"/>
              <a:ea typeface="+mn-ea"/>
              <a:cs typeface="+mn-cs"/>
            </a:rPr>
            <a:t>tab, click the scenario and reference architecture combination you want to follow ("</a:t>
          </a:r>
          <a:r>
            <a:rPr lang="en-US" sz="1100" b="1" baseline="0">
              <a:solidFill>
                <a:schemeClr val="tx1"/>
              </a:solidFill>
              <a:latin typeface="+mn-lt"/>
              <a:ea typeface="+mn-ea"/>
              <a:cs typeface="+mn-cs"/>
            </a:rPr>
            <a:t>New</a:t>
          </a:r>
          <a:r>
            <a:rPr lang="en-US" sz="1100" baseline="0">
              <a:solidFill>
                <a:schemeClr val="tx1"/>
              </a:solidFill>
              <a:latin typeface="+mn-lt"/>
              <a:ea typeface="+mn-ea"/>
              <a:cs typeface="+mn-cs"/>
            </a:rPr>
            <a:t>" or "</a:t>
          </a:r>
          <a:r>
            <a:rPr lang="en-US" sz="1100" b="1" baseline="0">
              <a:solidFill>
                <a:schemeClr val="tx1"/>
              </a:solidFill>
              <a:latin typeface="+mn-lt"/>
              <a:ea typeface="+mn-ea"/>
              <a:cs typeface="+mn-cs"/>
            </a:rPr>
            <a:t>Existing</a:t>
          </a:r>
          <a:r>
            <a:rPr lang="en-US" sz="1100" baseline="0">
              <a:solidFill>
                <a:schemeClr val="tx1"/>
              </a:solidFill>
              <a:latin typeface="+mn-lt"/>
              <a:ea typeface="+mn-ea"/>
              <a:cs typeface="+mn-cs"/>
            </a:rPr>
            <a:t>", and "</a:t>
          </a:r>
          <a:r>
            <a:rPr lang="en-US" sz="1100" b="1" baseline="0">
              <a:solidFill>
                <a:schemeClr val="tx1"/>
              </a:solidFill>
              <a:latin typeface="+mn-lt"/>
              <a:ea typeface="+mn-ea"/>
              <a:cs typeface="+mn-cs"/>
            </a:rPr>
            <a:t>Standard Reference Architecture (SRA)</a:t>
          </a:r>
          <a:r>
            <a:rPr lang="en-US" sz="1100" baseline="0">
              <a:solidFill>
                <a:schemeClr val="tx1"/>
              </a:solidFill>
              <a:latin typeface="+mn-lt"/>
              <a:ea typeface="+mn-ea"/>
              <a:cs typeface="+mn-cs"/>
            </a:rPr>
            <a:t>" or "</a:t>
          </a:r>
          <a:r>
            <a:rPr lang="en-US" sz="1100" b="1" baseline="0">
              <a:solidFill>
                <a:schemeClr val="tx1"/>
              </a:solidFill>
              <a:latin typeface="+mn-lt"/>
              <a:ea typeface="+mn-ea"/>
              <a:cs typeface="+mn-cs"/>
            </a:rPr>
            <a:t>Enterprise Reference Architecture (ERA)</a:t>
          </a:r>
          <a:r>
            <a:rPr lang="en-US" sz="1100" baseline="0">
              <a:solidFill>
                <a:schemeClr val="tx1"/>
              </a:solidFill>
              <a:latin typeface="+mn-lt"/>
              <a:ea typeface="+mn-ea"/>
              <a:cs typeface="+mn-cs"/>
            </a:rPr>
            <a:t>"). You then move through two more data collection pages:</a:t>
          </a:r>
        </a:p>
        <a:p>
          <a:r>
            <a:rPr lang="en-US" sz="1100" baseline="0">
              <a:solidFill>
                <a:schemeClr val="tx1"/>
              </a:solidFill>
              <a:latin typeface="+mn-lt"/>
              <a:ea typeface="+mn-ea"/>
              <a:cs typeface="+mn-cs"/>
            </a:rPr>
            <a:t>	- Configure Desired Security Protection Settings</a:t>
          </a:r>
          <a:endParaRPr lang="en-US" sz="1100">
            <a:solidFill>
              <a:schemeClr val="tx1"/>
            </a:solidFill>
            <a:latin typeface="+mn-lt"/>
            <a:ea typeface="+mn-ea"/>
            <a:cs typeface="+mn-cs"/>
          </a:endParaRPr>
        </a:p>
        <a:p>
          <a:r>
            <a:rPr lang="en-US" sz="1100" baseline="0">
              <a:solidFill>
                <a:schemeClr val="tx1"/>
              </a:solidFill>
              <a:latin typeface="+mn-lt"/>
              <a:ea typeface="+mn-ea"/>
              <a:cs typeface="+mn-cs"/>
            </a:rPr>
            <a:t>	- Describe the Environment to Be Supported</a:t>
          </a:r>
          <a:endParaRPr lang="en-US"/>
        </a:p>
        <a:p>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After completing that information, you get hardware recommendations based on data derived through lab testing.</a:t>
          </a:r>
        </a:p>
        <a:p>
          <a:endParaRPr lang="en-US" sz="1100" baseline="0">
            <a:solidFill>
              <a:schemeClr val="tx1"/>
            </a:solidFill>
            <a:latin typeface="+mn-lt"/>
            <a:ea typeface="+mn-ea"/>
            <a:cs typeface="+mn-cs"/>
          </a:endParaRPr>
        </a:p>
      </xdr:txBody>
    </xdr:sp>
    <xdr:clientData/>
  </xdr:oneCellAnchor>
  <xdr:twoCellAnchor editAs="oneCell">
    <xdr:from>
      <xdr:col>0</xdr:col>
      <xdr:colOff>76200</xdr:colOff>
      <xdr:row>0</xdr:row>
      <xdr:rowOff>180975</xdr:rowOff>
    </xdr:from>
    <xdr:to>
      <xdr:col>5</xdr:col>
      <xdr:colOff>428625</xdr:colOff>
      <xdr:row>4</xdr:row>
      <xdr:rowOff>180975</xdr:rowOff>
    </xdr:to>
    <xdr:pic>
      <xdr:nvPicPr>
        <xdr:cNvPr id="5" name="Picture 4" descr="FSE logo.gif"/>
        <xdr:cNvPicPr>
          <a:picLocks noChangeAspect="1"/>
        </xdr:cNvPicPr>
      </xdr:nvPicPr>
      <xdr:blipFill>
        <a:blip xmlns:r="http://schemas.openxmlformats.org/officeDocument/2006/relationships" r:embed="rId2"/>
        <a:stretch>
          <a:fillRect/>
        </a:stretch>
      </xdr:blipFill>
      <xdr:spPr>
        <a:xfrm>
          <a:off x="76200" y="180975"/>
          <a:ext cx="3400425" cy="76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548641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911591" cy="1173480"/>
        </a:xfrm>
        <a:prstGeom prst="rect">
          <a:avLst/>
        </a:prstGeom>
        <a:noFill/>
      </xdr:spPr>
    </xdr:pic>
    <xdr:clientData/>
  </xdr:twoCellAnchor>
  <xdr:twoCellAnchor editAs="oneCell">
    <xdr:from>
      <xdr:col>0</xdr:col>
      <xdr:colOff>66675</xdr:colOff>
      <xdr:row>0</xdr:row>
      <xdr:rowOff>180975</xdr:rowOff>
    </xdr:from>
    <xdr:to>
      <xdr:col>4</xdr:col>
      <xdr:colOff>529590</xdr:colOff>
      <xdr:row>4</xdr:row>
      <xdr:rowOff>180975</xdr:rowOff>
    </xdr:to>
    <xdr:pic>
      <xdr:nvPicPr>
        <xdr:cNvPr id="3" name="Picture 2"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2</xdr:col>
      <xdr:colOff>161924</xdr:colOff>
      <xdr:row>7</xdr:row>
      <xdr:rowOff>133350</xdr:rowOff>
    </xdr:from>
    <xdr:ext cx="7016115" cy="468013"/>
    <xdr:sp macro="" textlink="">
      <xdr:nvSpPr>
        <xdr:cNvPr id="4" name="TextBox 3"/>
        <xdr:cNvSpPr txBox="1"/>
      </xdr:nvSpPr>
      <xdr:spPr>
        <a:xfrm>
          <a:off x="527684" y="1413510"/>
          <a:ext cx="7016115"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a:t>
          </a:r>
          <a:r>
            <a:rPr lang="en-US" sz="2400" b="1">
              <a:solidFill>
                <a:schemeClr val="tx1"/>
              </a:solidFill>
              <a:latin typeface="+mn-lt"/>
              <a:ea typeface="+mn-ea"/>
              <a:cs typeface="+mn-cs"/>
            </a:rPr>
            <a:t>Enterprise</a:t>
          </a:r>
          <a:r>
            <a:rPr lang="en-US" sz="2400" b="1" baseline="0"/>
            <a:t> </a:t>
          </a:r>
          <a:r>
            <a:rPr lang="en-US" sz="2400" b="1"/>
            <a:t>Reference Architecture </a:t>
          </a:r>
          <a:endParaRPr lang="en-US" sz="2400" b="1" baseline="0"/>
        </a:p>
      </xdr:txBody>
    </xdr:sp>
    <xdr:clientData/>
  </xdr:oneCellAnchor>
  <xdr:oneCellAnchor>
    <xdr:from>
      <xdr:col>0</xdr:col>
      <xdr:colOff>266700</xdr:colOff>
      <xdr:row>12</xdr:row>
      <xdr:rowOff>47625</xdr:rowOff>
    </xdr:from>
    <xdr:ext cx="8601076" cy="655949"/>
    <xdr:sp macro="" textlink="">
      <xdr:nvSpPr>
        <xdr:cNvPr id="5" name="TextBox 4"/>
        <xdr:cNvSpPr txBox="1"/>
      </xdr:nvSpPr>
      <xdr:spPr>
        <a:xfrm>
          <a:off x="266700" y="2242185"/>
          <a:ext cx="8601076" cy="65594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Step 5: Calculated recommended hardware for profile</a:t>
          </a:r>
          <a:endParaRPr lang="en-US" sz="1800"/>
        </a:p>
        <a:p>
          <a:r>
            <a:rPr lang="en-US" sz="1100" b="0" baseline="0">
              <a:solidFill>
                <a:schemeClr val="tx1"/>
              </a:solidFill>
              <a:latin typeface="+mn-lt"/>
              <a:ea typeface="+mn-ea"/>
              <a:cs typeface="+mn-cs"/>
            </a:rPr>
            <a:t>Based upon the data collected and derived from the tool, the following hardware is recommended for your profile. Memory per server is the minimum recommended for the settings and profile. Any quantity of memory in excess of the recommended amount may help provide headroom.</a:t>
          </a:r>
          <a:endParaRPr lang="en-US" sz="1100" b="0">
            <a:solidFill>
              <a:schemeClr val="tx1"/>
            </a:solidFill>
            <a:latin typeface="+mn-lt"/>
            <a:ea typeface="+mn-ea"/>
            <a:cs typeface="+mn-cs"/>
          </a:endParaRPr>
        </a:p>
      </xdr:txBody>
    </xdr:sp>
    <xdr:clientData/>
  </xdr:oneCellAnchor>
  <xdr:twoCellAnchor>
    <xdr:from>
      <xdr:col>0</xdr:col>
      <xdr:colOff>259080</xdr:colOff>
      <xdr:row>5</xdr:row>
      <xdr:rowOff>108587</xdr:rowOff>
    </xdr:from>
    <xdr:to>
      <xdr:col>2</xdr:col>
      <xdr:colOff>1291590</xdr:colOff>
      <xdr:row>7</xdr:row>
      <xdr:rowOff>108587</xdr:rowOff>
    </xdr:to>
    <xdr:sp macro="" textlink="">
      <xdr:nvSpPr>
        <xdr:cNvPr id="16" name="Flowchart: Process 15">
          <a:hlinkClick xmlns:r="http://schemas.openxmlformats.org/officeDocument/2006/relationships" r:id="rId3"/>
        </xdr:cNvPr>
        <xdr:cNvSpPr/>
      </xdr:nvSpPr>
      <xdr:spPr>
        <a:xfrm>
          <a:off x="259080" y="1022987"/>
          <a:ext cx="1565910"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2</xdr:col>
      <xdr:colOff>1339214</xdr:colOff>
      <xdr:row>5</xdr:row>
      <xdr:rowOff>108586</xdr:rowOff>
    </xdr:from>
    <xdr:to>
      <xdr:col>4</xdr:col>
      <xdr:colOff>276986</xdr:colOff>
      <xdr:row>7</xdr:row>
      <xdr:rowOff>108586</xdr:rowOff>
    </xdr:to>
    <xdr:sp macro="" textlink="">
      <xdr:nvSpPr>
        <xdr:cNvPr id="17" name="Flowchart: Process 16">
          <a:hlinkClick xmlns:r="http://schemas.openxmlformats.org/officeDocument/2006/relationships" r:id="rId4"/>
        </xdr:cNvPr>
        <xdr:cNvSpPr/>
      </xdr:nvSpPr>
      <xdr:spPr>
        <a:xfrm>
          <a:off x="1872614" y="102298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4</xdr:col>
      <xdr:colOff>335279</xdr:colOff>
      <xdr:row>5</xdr:row>
      <xdr:rowOff>108586</xdr:rowOff>
    </xdr:from>
    <xdr:to>
      <xdr:col>7</xdr:col>
      <xdr:colOff>850391</xdr:colOff>
      <xdr:row>7</xdr:row>
      <xdr:rowOff>108586</xdr:rowOff>
    </xdr:to>
    <xdr:sp macro="" textlink="">
      <xdr:nvSpPr>
        <xdr:cNvPr id="18" name="Flowchart: Process 17">
          <a:hlinkClick xmlns:r="http://schemas.openxmlformats.org/officeDocument/2006/relationships" r:id="rId5"/>
        </xdr:cNvPr>
        <xdr:cNvSpPr/>
      </xdr:nvSpPr>
      <xdr:spPr>
        <a:xfrm>
          <a:off x="3329939" y="102298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ERA </a:t>
          </a:r>
          <a:r>
            <a:rPr lang="en-US" sz="1100" b="1" baseline="0"/>
            <a:t>Settings</a:t>
          </a:r>
          <a:endParaRPr lang="en-US" sz="1100" b="1"/>
        </a:p>
      </xdr:txBody>
    </xdr:sp>
    <xdr:clientData/>
  </xdr:twoCellAnchor>
  <xdr:twoCellAnchor>
    <xdr:from>
      <xdr:col>7</xdr:col>
      <xdr:colOff>908684</xdr:colOff>
      <xdr:row>5</xdr:row>
      <xdr:rowOff>99061</xdr:rowOff>
    </xdr:from>
    <xdr:to>
      <xdr:col>7</xdr:col>
      <xdr:colOff>2307716</xdr:colOff>
      <xdr:row>7</xdr:row>
      <xdr:rowOff>99061</xdr:rowOff>
    </xdr:to>
    <xdr:sp macro="" textlink="">
      <xdr:nvSpPr>
        <xdr:cNvPr id="19" name="Flowchart: Process 18">
          <a:hlinkClick xmlns:r="http://schemas.openxmlformats.org/officeDocument/2006/relationships" r:id="rId6"/>
        </xdr:cNvPr>
        <xdr:cNvSpPr/>
      </xdr:nvSpPr>
      <xdr:spPr>
        <a:xfrm>
          <a:off x="4787264" y="1013461"/>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ERA Environment</a:t>
          </a:r>
          <a:endParaRPr lang="en-US" sz="1100" b="1"/>
        </a:p>
      </xdr:txBody>
    </xdr:sp>
    <xdr:clientData/>
  </xdr:twoCellAnchor>
  <xdr:twoCellAnchor>
    <xdr:from>
      <xdr:col>7</xdr:col>
      <xdr:colOff>2371724</xdr:colOff>
      <xdr:row>5</xdr:row>
      <xdr:rowOff>83820</xdr:rowOff>
    </xdr:from>
    <xdr:to>
      <xdr:col>12</xdr:col>
      <xdr:colOff>548640</xdr:colOff>
      <xdr:row>7</xdr:row>
      <xdr:rowOff>85726</xdr:rowOff>
    </xdr:to>
    <xdr:sp macro="" textlink="">
      <xdr:nvSpPr>
        <xdr:cNvPr id="20" name="Flowchart: Process 19">
          <a:hlinkClick xmlns:r="http://schemas.openxmlformats.org/officeDocument/2006/relationships" r:id="rId7"/>
        </xdr:cNvPr>
        <xdr:cNvSpPr/>
      </xdr:nvSpPr>
      <xdr:spPr>
        <a:xfrm>
          <a:off x="6250304" y="998220"/>
          <a:ext cx="1613536" cy="36766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ERA Recommendations</a:t>
          </a:r>
          <a:endParaRPr lang="en-US" sz="1100" b="1"/>
        </a:p>
      </xdr:txBody>
    </xdr:sp>
    <xdr:clientData/>
  </xdr:twoCellAnchor>
  <xdr:twoCellAnchor>
    <xdr:from>
      <xdr:col>10</xdr:col>
      <xdr:colOff>173355</xdr:colOff>
      <xdr:row>17</xdr:row>
      <xdr:rowOff>89538</xdr:rowOff>
    </xdr:from>
    <xdr:to>
      <xdr:col>12</xdr:col>
      <xdr:colOff>838201</xdr:colOff>
      <xdr:row>19</xdr:row>
      <xdr:rowOff>145324</xdr:rowOff>
    </xdr:to>
    <xdr:grpSp>
      <xdr:nvGrpSpPr>
        <xdr:cNvPr id="11" name="Group 10"/>
        <xdr:cNvGrpSpPr/>
      </xdr:nvGrpSpPr>
      <xdr:grpSpPr>
        <a:xfrm>
          <a:off x="7907655" y="3328038"/>
          <a:ext cx="1074421" cy="436786"/>
          <a:chOff x="393790" y="5099219"/>
          <a:chExt cx="1073917" cy="444541"/>
        </a:xfrm>
      </xdr:grpSpPr>
      <xdr:sp macro="" textlink="">
        <xdr:nvSpPr>
          <xdr:cNvPr id="12" name="TextBox 11"/>
          <xdr:cNvSpPr txBox="1"/>
        </xdr:nvSpPr>
        <xdr:spPr>
          <a:xfrm>
            <a:off x="393790" y="5099219"/>
            <a:ext cx="784782" cy="4445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Calculated</a:t>
            </a:r>
          </a:p>
        </xdr:txBody>
      </xdr:sp>
      <xdr:sp macro="" textlink="">
        <xdr:nvSpPr>
          <xdr:cNvPr id="21" name="Rectangle 20"/>
          <xdr:cNvSpPr/>
        </xdr:nvSpPr>
        <xdr:spPr>
          <a:xfrm>
            <a:off x="1181957" y="5326670"/>
            <a:ext cx="285750" cy="133350"/>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oneCellAnchor>
    <xdr:from>
      <xdr:col>4</xdr:col>
      <xdr:colOff>323850</xdr:colOff>
      <xdr:row>37</xdr:row>
      <xdr:rowOff>1905</xdr:rowOff>
    </xdr:from>
    <xdr:ext cx="5379720" cy="1642373"/>
    <xdr:sp macro="" textlink="">
      <xdr:nvSpPr>
        <xdr:cNvPr id="22" name="TextBox 21"/>
        <xdr:cNvSpPr txBox="1"/>
      </xdr:nvSpPr>
      <xdr:spPr>
        <a:xfrm>
          <a:off x="3419475" y="7098030"/>
          <a:ext cx="5379720" cy="16423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baseline="0">
              <a:solidFill>
                <a:schemeClr val="tx1"/>
              </a:solidFill>
              <a:latin typeface="+mn-lt"/>
              <a:ea typeface="+mn-ea"/>
              <a:cs typeface="+mn-cs"/>
            </a:rPr>
            <a:t>NOTE: </a:t>
          </a:r>
          <a:r>
            <a:rPr lang="en-US" sz="1100" i="1" baseline="0">
              <a:solidFill>
                <a:schemeClr val="tx1"/>
              </a:solidFill>
              <a:latin typeface="+mn-lt"/>
              <a:ea typeface="+mn-ea"/>
              <a:cs typeface="+mn-cs"/>
            </a:rPr>
            <a:t>You should not base hardware purchase decisions exclusively on this information. </a:t>
          </a:r>
          <a:r>
            <a:rPr lang="en-US" sz="1100" i="0" baseline="0">
              <a:solidFill>
                <a:schemeClr val="tx1"/>
              </a:solidFill>
              <a:latin typeface="+mn-lt"/>
              <a:ea typeface="+mn-ea"/>
              <a:cs typeface="+mn-cs"/>
            </a:rPr>
            <a:t>This capacity planning tool is not a replacement for thorough Microsoft Exchange capacity planning.</a:t>
          </a:r>
        </a:p>
        <a:p>
          <a:endParaRPr lang="en-US" sz="1100" i="0" baseline="0">
            <a:solidFill>
              <a:schemeClr val="tx1"/>
            </a:solidFill>
            <a:latin typeface="+mn-lt"/>
            <a:ea typeface="+mn-ea"/>
            <a:cs typeface="+mn-cs"/>
          </a:endParaRPr>
        </a:p>
        <a:p>
          <a:r>
            <a:rPr lang="en-US" sz="1100" i="0" baseline="0">
              <a:solidFill>
                <a:schemeClr val="tx1"/>
              </a:solidFill>
              <a:latin typeface="+mn-lt"/>
              <a:ea typeface="+mn-ea"/>
              <a:cs typeface="+mn-cs"/>
            </a:rPr>
            <a:t>*Processor recommendation for all servers is a minimum of 4 cores, in line with Microsoft Exchange Server recommendations. Results are provided based on the test hardware profile, which used 2 hyper-threaded processors. Please refer to the processor benchmark data linked from the Resources worksheet for further information about processor performance.</a:t>
          </a:r>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887731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911591" cy="1173480"/>
        </a:xfrm>
        <a:prstGeom prst="rect">
          <a:avLst/>
        </a:prstGeom>
        <a:noFill/>
      </xdr:spPr>
    </xdr:pic>
    <xdr:clientData/>
  </xdr:twoCellAnchor>
  <xdr:twoCellAnchor editAs="oneCell">
    <xdr:from>
      <xdr:col>0</xdr:col>
      <xdr:colOff>66675</xdr:colOff>
      <xdr:row>0</xdr:row>
      <xdr:rowOff>180975</xdr:rowOff>
    </xdr:from>
    <xdr:to>
      <xdr:col>3</xdr:col>
      <xdr:colOff>2165985</xdr:colOff>
      <xdr:row>4</xdr:row>
      <xdr:rowOff>180975</xdr:rowOff>
    </xdr:to>
    <xdr:pic>
      <xdr:nvPicPr>
        <xdr:cNvPr id="3" name="Picture 2"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0</xdr:col>
      <xdr:colOff>283844</xdr:colOff>
      <xdr:row>7</xdr:row>
      <xdr:rowOff>156210</xdr:rowOff>
    </xdr:from>
    <xdr:ext cx="7374255" cy="468013"/>
    <xdr:sp macro="" textlink="">
      <xdr:nvSpPr>
        <xdr:cNvPr id="4" name="TextBox 3"/>
        <xdr:cNvSpPr txBox="1"/>
      </xdr:nvSpPr>
      <xdr:spPr>
        <a:xfrm>
          <a:off x="283844" y="1436370"/>
          <a:ext cx="7374255"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Existing Deployment | Standard</a:t>
          </a:r>
          <a:r>
            <a:rPr lang="en-US" sz="2400" b="1" baseline="0"/>
            <a:t> </a:t>
          </a:r>
          <a:r>
            <a:rPr lang="en-US" sz="2400" b="1"/>
            <a:t>Reference Architecture </a:t>
          </a:r>
          <a:endParaRPr lang="en-US" sz="2400" b="1" baseline="0"/>
        </a:p>
      </xdr:txBody>
    </xdr:sp>
    <xdr:clientData/>
  </xdr:oneCellAnchor>
  <xdr:oneCellAnchor>
    <xdr:from>
      <xdr:col>0</xdr:col>
      <xdr:colOff>266700</xdr:colOff>
      <xdr:row>12</xdr:row>
      <xdr:rowOff>47625</xdr:rowOff>
    </xdr:from>
    <xdr:ext cx="8601076" cy="1344855"/>
    <xdr:sp macro="" textlink="">
      <xdr:nvSpPr>
        <xdr:cNvPr id="5" name="TextBox 4"/>
        <xdr:cNvSpPr txBox="1"/>
      </xdr:nvSpPr>
      <xdr:spPr>
        <a:xfrm>
          <a:off x="266700" y="2242185"/>
          <a:ext cx="8601076" cy="134485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Utilization impact on existing Exchange environments</a:t>
          </a:r>
          <a:endParaRPr lang="en-US" sz="1800"/>
        </a:p>
        <a:p>
          <a:r>
            <a:rPr lang="en-US" sz="1100" b="0" baseline="0">
              <a:solidFill>
                <a:schemeClr val="tx1"/>
              </a:solidFill>
              <a:latin typeface="+mn-lt"/>
              <a:ea typeface="+mn-ea"/>
              <a:cs typeface="+mn-cs"/>
            </a:rPr>
            <a:t>Please refer to the graphs below to determine the impact of </a:t>
          </a:r>
          <a:r>
            <a:rPr lang="en-US" sz="1100">
              <a:solidFill>
                <a:schemeClr val="tx1"/>
              </a:solidFill>
              <a:latin typeface="+mn-lt"/>
              <a:ea typeface="+mn-ea"/>
              <a:cs typeface="+mn-cs"/>
            </a:rPr>
            <a:t>Microsoft Forefront Security for Exchange Server (FSE)</a:t>
          </a:r>
          <a:r>
            <a:rPr lang="en-US" sz="1100" b="0" baseline="0">
              <a:solidFill>
                <a:schemeClr val="tx1"/>
              </a:solidFill>
              <a:latin typeface="+mn-lt"/>
              <a:ea typeface="+mn-ea"/>
              <a:cs typeface="+mn-cs"/>
            </a:rPr>
            <a:t> on your existing Microsoft Exchange Server environment. The graphs reflect the default settings used in the tool for the Standard Reference Architecture (SRA). The Multi Role server data assumes Hub and Mailbox roles are set to use the same number of engines.</a:t>
          </a:r>
        </a:p>
        <a:p>
          <a:endParaRPr lang="en-US" sz="1100" b="0" baseline="0">
            <a:solidFill>
              <a:schemeClr val="tx1"/>
            </a:solidFill>
            <a:latin typeface="+mn-lt"/>
            <a:ea typeface="+mn-ea"/>
            <a:cs typeface="+mn-cs"/>
          </a:endParaRPr>
        </a:p>
        <a:p>
          <a:r>
            <a:rPr lang="en-US" sz="1100" b="0" baseline="0">
              <a:solidFill>
                <a:schemeClr val="tx1"/>
              </a:solidFill>
              <a:latin typeface="+mn-lt"/>
              <a:ea typeface="+mn-ea"/>
              <a:cs typeface="+mn-cs"/>
            </a:rPr>
            <a:t>Data is extrapolated based upon test data for a single server. Scale is calculated such that utilization percentages exceed 100% CPU utilization or maximum memory in some graphs. Where data exceed the maximum, server scale-out would be required to accommodate the load.</a:t>
          </a:r>
          <a:endParaRPr lang="en-US" sz="1100" b="0">
            <a:solidFill>
              <a:schemeClr val="tx1"/>
            </a:solidFill>
            <a:latin typeface="+mn-lt"/>
            <a:ea typeface="+mn-ea"/>
            <a:cs typeface="+mn-cs"/>
          </a:endParaRPr>
        </a:p>
      </xdr:txBody>
    </xdr:sp>
    <xdr:clientData/>
  </xdr:oneCellAnchor>
  <xdr:twoCellAnchor>
    <xdr:from>
      <xdr:col>0</xdr:col>
      <xdr:colOff>266700</xdr:colOff>
      <xdr:row>5</xdr:row>
      <xdr:rowOff>108587</xdr:rowOff>
    </xdr:from>
    <xdr:to>
      <xdr:col>3</xdr:col>
      <xdr:colOff>95250</xdr:colOff>
      <xdr:row>7</xdr:row>
      <xdr:rowOff>108587</xdr:rowOff>
    </xdr:to>
    <xdr:sp macro="" textlink="">
      <xdr:nvSpPr>
        <xdr:cNvPr id="11" name="Flowchart: Process 10">
          <a:hlinkClick xmlns:r="http://schemas.openxmlformats.org/officeDocument/2006/relationships" r:id="rId3"/>
        </xdr:cNvPr>
        <xdr:cNvSpPr/>
      </xdr:nvSpPr>
      <xdr:spPr>
        <a:xfrm>
          <a:off x="266700" y="1022987"/>
          <a:ext cx="1398270" cy="365760"/>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3</xdr:col>
      <xdr:colOff>142874</xdr:colOff>
      <xdr:row>5</xdr:row>
      <xdr:rowOff>108586</xdr:rowOff>
    </xdr:from>
    <xdr:to>
      <xdr:col>3</xdr:col>
      <xdr:colOff>1541906</xdr:colOff>
      <xdr:row>7</xdr:row>
      <xdr:rowOff>108586</xdr:rowOff>
    </xdr:to>
    <xdr:sp macro="" textlink="">
      <xdr:nvSpPr>
        <xdr:cNvPr id="12" name="Flowchart: Process 11">
          <a:hlinkClick xmlns:r="http://schemas.openxmlformats.org/officeDocument/2006/relationships" r:id="rId4"/>
        </xdr:cNvPr>
        <xdr:cNvSpPr/>
      </xdr:nvSpPr>
      <xdr:spPr>
        <a:xfrm>
          <a:off x="1712594" y="1022986"/>
          <a:ext cx="1399032" cy="365760"/>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3</xdr:col>
      <xdr:colOff>1600199</xdr:colOff>
      <xdr:row>5</xdr:row>
      <xdr:rowOff>102870</xdr:rowOff>
    </xdr:from>
    <xdr:to>
      <xdr:col>5</xdr:col>
      <xdr:colOff>803910</xdr:colOff>
      <xdr:row>7</xdr:row>
      <xdr:rowOff>104776</xdr:rowOff>
    </xdr:to>
    <xdr:sp macro="" textlink="">
      <xdr:nvSpPr>
        <xdr:cNvPr id="15" name="Flowchart: Process 14">
          <a:hlinkClick xmlns:r="http://schemas.openxmlformats.org/officeDocument/2006/relationships" r:id="rId5"/>
        </xdr:cNvPr>
        <xdr:cNvSpPr/>
      </xdr:nvSpPr>
      <xdr:spPr>
        <a:xfrm>
          <a:off x="3124199" y="1055370"/>
          <a:ext cx="1613536" cy="382906"/>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a:t>
          </a:r>
          <a:r>
            <a:rPr lang="en-US" sz="1100" b="1">
              <a:solidFill>
                <a:schemeClr val="lt1"/>
              </a:solidFill>
              <a:latin typeface="+mn-lt"/>
              <a:ea typeface="+mn-ea"/>
              <a:cs typeface="+mn-cs"/>
            </a:rPr>
            <a:t>Existing</a:t>
          </a:r>
          <a:r>
            <a:rPr lang="en-US" sz="1100" b="1" baseline="0">
              <a:solidFill>
                <a:schemeClr val="lt1"/>
              </a:solidFill>
              <a:latin typeface="+mn-lt"/>
              <a:ea typeface="+mn-ea"/>
              <a:cs typeface="+mn-cs"/>
            </a:rPr>
            <a:t> </a:t>
          </a:r>
          <a:r>
            <a:rPr lang="en-US" sz="1100" b="1" baseline="0"/>
            <a:t>SRA Recommendations</a:t>
          </a:r>
          <a:endParaRPr lang="en-US" sz="1100" b="1"/>
        </a:p>
      </xdr:txBody>
    </xdr:sp>
    <xdr:clientData/>
  </xdr:twoCellAnchor>
  <xdr:twoCellAnchor>
    <xdr:from>
      <xdr:col>0</xdr:col>
      <xdr:colOff>259080</xdr:colOff>
      <xdr:row>21</xdr:row>
      <xdr:rowOff>30480</xdr:rowOff>
    </xdr:from>
    <xdr:to>
      <xdr:col>9</xdr:col>
      <xdr:colOff>906780</xdr:colOff>
      <xdr:row>51</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251460</xdr:colOff>
      <xdr:row>52</xdr:row>
      <xdr:rowOff>175260</xdr:rowOff>
    </xdr:from>
    <xdr:to>
      <xdr:col>9</xdr:col>
      <xdr:colOff>899160</xdr:colOff>
      <xdr:row>83</xdr:row>
      <xdr:rowOff>7620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257174</xdr:colOff>
      <xdr:row>117</xdr:row>
      <xdr:rowOff>123825</xdr:rowOff>
    </xdr:from>
    <xdr:to>
      <xdr:col>9</xdr:col>
      <xdr:colOff>914399</xdr:colOff>
      <xdr:row>147</xdr:row>
      <xdr:rowOff>123825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257175</xdr:colOff>
      <xdr:row>85</xdr:row>
      <xdr:rowOff>114299</xdr:rowOff>
    </xdr:from>
    <xdr:to>
      <xdr:col>9</xdr:col>
      <xdr:colOff>923925</xdr:colOff>
      <xdr:row>115</xdr:row>
      <xdr:rowOff>85724</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1596391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911591" cy="1173480"/>
        </a:xfrm>
        <a:prstGeom prst="rect">
          <a:avLst/>
        </a:prstGeom>
        <a:noFill/>
      </xdr:spPr>
    </xdr:pic>
    <xdr:clientData/>
  </xdr:twoCellAnchor>
  <xdr:twoCellAnchor editAs="oneCell">
    <xdr:from>
      <xdr:col>0</xdr:col>
      <xdr:colOff>66675</xdr:colOff>
      <xdr:row>0</xdr:row>
      <xdr:rowOff>180975</xdr:rowOff>
    </xdr:from>
    <xdr:to>
      <xdr:col>5</xdr:col>
      <xdr:colOff>24765</xdr:colOff>
      <xdr:row>4</xdr:row>
      <xdr:rowOff>180975</xdr:rowOff>
    </xdr:to>
    <xdr:pic>
      <xdr:nvPicPr>
        <xdr:cNvPr id="3" name="Picture 2"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0</xdr:col>
      <xdr:colOff>266700</xdr:colOff>
      <xdr:row>12</xdr:row>
      <xdr:rowOff>47625</xdr:rowOff>
    </xdr:from>
    <xdr:ext cx="8601076" cy="1172629"/>
    <xdr:sp macro="" textlink="">
      <xdr:nvSpPr>
        <xdr:cNvPr id="5" name="TextBox 4"/>
        <xdr:cNvSpPr txBox="1"/>
      </xdr:nvSpPr>
      <xdr:spPr>
        <a:xfrm>
          <a:off x="266700" y="2242185"/>
          <a:ext cx="8601076" cy="11726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Utilization impact on existing Exchange environments</a:t>
          </a:r>
          <a:endParaRPr lang="en-US" sz="1400">
            <a:solidFill>
              <a:schemeClr val="tx1"/>
            </a:solidFill>
            <a:latin typeface="+mn-lt"/>
            <a:ea typeface="+mn-ea"/>
            <a:cs typeface="+mn-cs"/>
          </a:endParaRPr>
        </a:p>
        <a:p>
          <a:r>
            <a:rPr lang="en-US" sz="1100" b="0" baseline="0">
              <a:solidFill>
                <a:schemeClr val="tx1"/>
              </a:solidFill>
              <a:latin typeface="+mn-lt"/>
              <a:ea typeface="+mn-ea"/>
              <a:cs typeface="+mn-cs"/>
            </a:rPr>
            <a:t>Please refer to the graphs below to determine the impact of </a:t>
          </a:r>
          <a:r>
            <a:rPr lang="en-US" sz="1100">
              <a:solidFill>
                <a:schemeClr val="tx1"/>
              </a:solidFill>
              <a:latin typeface="+mn-lt"/>
              <a:ea typeface="+mn-ea"/>
              <a:cs typeface="+mn-cs"/>
            </a:rPr>
            <a:t>Microsoft Forefront Security for Exchange Server (FSE)</a:t>
          </a:r>
          <a:r>
            <a:rPr lang="en-US" sz="1100" b="0" baseline="0">
              <a:solidFill>
                <a:schemeClr val="tx1"/>
              </a:solidFill>
              <a:latin typeface="+mn-lt"/>
              <a:ea typeface="+mn-ea"/>
              <a:cs typeface="+mn-cs"/>
            </a:rPr>
            <a:t> on your existing Microsoft Exchange Server environment. The graphs reflect the default settings used in the tool for the Enterprise Reference Architecture (ERA). </a:t>
          </a:r>
        </a:p>
        <a:p>
          <a:endParaRPr lang="en-US" sz="1100" b="0" baseline="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tx1"/>
              </a:solidFill>
              <a:latin typeface="+mn-lt"/>
              <a:ea typeface="+mn-ea"/>
              <a:cs typeface="+mn-cs"/>
            </a:rPr>
            <a:t>Data is extrapolated based upon test data for a single server. Scale is calculated such that utilization percentages exceed 100% CPU utilization or maximum memory in some graphs. Where data exceed the maximum, server scale-out would be required to accommodate the load.</a:t>
          </a:r>
          <a:endParaRPr lang="en-US" sz="1100" b="0">
            <a:solidFill>
              <a:schemeClr val="tx1"/>
            </a:solidFill>
            <a:latin typeface="+mn-lt"/>
            <a:ea typeface="+mn-ea"/>
            <a:cs typeface="+mn-cs"/>
          </a:endParaRPr>
        </a:p>
      </xdr:txBody>
    </xdr:sp>
    <xdr:clientData/>
  </xdr:oneCellAnchor>
  <xdr:twoCellAnchor>
    <xdr:from>
      <xdr:col>0</xdr:col>
      <xdr:colOff>259080</xdr:colOff>
      <xdr:row>5</xdr:row>
      <xdr:rowOff>108587</xdr:rowOff>
    </xdr:from>
    <xdr:to>
      <xdr:col>2</xdr:col>
      <xdr:colOff>1291590</xdr:colOff>
      <xdr:row>7</xdr:row>
      <xdr:rowOff>108587</xdr:rowOff>
    </xdr:to>
    <xdr:sp macro="" textlink="">
      <xdr:nvSpPr>
        <xdr:cNvPr id="11" name="Flowchart: Process 10">
          <a:hlinkClick xmlns:r="http://schemas.openxmlformats.org/officeDocument/2006/relationships" r:id="rId3"/>
        </xdr:cNvPr>
        <xdr:cNvSpPr/>
      </xdr:nvSpPr>
      <xdr:spPr>
        <a:xfrm>
          <a:off x="259080" y="1022987"/>
          <a:ext cx="1565910" cy="365760"/>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2</xdr:col>
      <xdr:colOff>1339214</xdr:colOff>
      <xdr:row>5</xdr:row>
      <xdr:rowOff>108586</xdr:rowOff>
    </xdr:from>
    <xdr:to>
      <xdr:col>4</xdr:col>
      <xdr:colOff>276986</xdr:colOff>
      <xdr:row>7</xdr:row>
      <xdr:rowOff>108586</xdr:rowOff>
    </xdr:to>
    <xdr:sp macro="" textlink="">
      <xdr:nvSpPr>
        <xdr:cNvPr id="12" name="Flowchart: Process 11">
          <a:hlinkClick xmlns:r="http://schemas.openxmlformats.org/officeDocument/2006/relationships" r:id="rId4"/>
        </xdr:cNvPr>
        <xdr:cNvSpPr/>
      </xdr:nvSpPr>
      <xdr:spPr>
        <a:xfrm>
          <a:off x="1872614" y="1022986"/>
          <a:ext cx="1399032" cy="365760"/>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4</xdr:col>
      <xdr:colOff>323849</xdr:colOff>
      <xdr:row>5</xdr:row>
      <xdr:rowOff>102870</xdr:rowOff>
    </xdr:from>
    <xdr:to>
      <xdr:col>6</xdr:col>
      <xdr:colOff>1034415</xdr:colOff>
      <xdr:row>7</xdr:row>
      <xdr:rowOff>104776</xdr:rowOff>
    </xdr:to>
    <xdr:sp macro="" textlink="">
      <xdr:nvSpPr>
        <xdr:cNvPr id="15" name="Flowchart: Process 14">
          <a:hlinkClick xmlns:r="http://schemas.openxmlformats.org/officeDocument/2006/relationships" r:id="rId5"/>
        </xdr:cNvPr>
        <xdr:cNvSpPr/>
      </xdr:nvSpPr>
      <xdr:spPr>
        <a:xfrm>
          <a:off x="3228974" y="1055370"/>
          <a:ext cx="1567816" cy="382906"/>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Existing </a:t>
          </a:r>
          <a:r>
            <a:rPr lang="en-US" sz="1100" b="1" baseline="0"/>
            <a:t>ERA Recommendations</a:t>
          </a:r>
          <a:endParaRPr lang="en-US" sz="1100" b="1"/>
        </a:p>
      </xdr:txBody>
    </xdr:sp>
    <xdr:clientData/>
  </xdr:twoCellAnchor>
  <xdr:oneCellAnchor>
    <xdr:from>
      <xdr:col>0</xdr:col>
      <xdr:colOff>281940</xdr:colOff>
      <xdr:row>7</xdr:row>
      <xdr:rowOff>144780</xdr:rowOff>
    </xdr:from>
    <xdr:ext cx="7549516" cy="468013"/>
    <xdr:sp macro="" textlink="">
      <xdr:nvSpPr>
        <xdr:cNvPr id="16" name="TextBox 15"/>
        <xdr:cNvSpPr txBox="1"/>
      </xdr:nvSpPr>
      <xdr:spPr>
        <a:xfrm>
          <a:off x="281940" y="1424940"/>
          <a:ext cx="7549516"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Existing</a:t>
          </a:r>
          <a:r>
            <a:rPr lang="en-US" sz="2400" b="1" baseline="0"/>
            <a:t> </a:t>
          </a:r>
          <a:r>
            <a:rPr lang="en-US" sz="2400" b="1"/>
            <a:t>Deployment | Enterprise Reference Architecture </a:t>
          </a:r>
          <a:endParaRPr lang="en-US" sz="2400" b="1" baseline="0"/>
        </a:p>
      </xdr:txBody>
    </xdr:sp>
    <xdr:clientData/>
  </xdr:oneCellAnchor>
  <xdr:twoCellAnchor>
    <xdr:from>
      <xdr:col>0</xdr:col>
      <xdr:colOff>304799</xdr:colOff>
      <xdr:row>78</xdr:row>
      <xdr:rowOff>171451</xdr:rowOff>
    </xdr:from>
    <xdr:to>
      <xdr:col>10</xdr:col>
      <xdr:colOff>1562099</xdr:colOff>
      <xdr:row>105</xdr:row>
      <xdr:rowOff>142875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320040</xdr:colOff>
      <xdr:row>107</xdr:row>
      <xdr:rowOff>99060</xdr:rowOff>
    </xdr:from>
    <xdr:to>
      <xdr:col>10</xdr:col>
      <xdr:colOff>1562100</xdr:colOff>
      <xdr:row>134</xdr:row>
      <xdr:rowOff>68580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320040</xdr:colOff>
      <xdr:row>22</xdr:row>
      <xdr:rowOff>68580</xdr:rowOff>
    </xdr:from>
    <xdr:to>
      <xdr:col>10</xdr:col>
      <xdr:colOff>1554480</xdr:colOff>
      <xdr:row>48</xdr:row>
      <xdr:rowOff>152400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312420</xdr:colOff>
      <xdr:row>50</xdr:row>
      <xdr:rowOff>83820</xdr:rowOff>
    </xdr:from>
    <xdr:to>
      <xdr:col>10</xdr:col>
      <xdr:colOff>1569720</xdr:colOff>
      <xdr:row>77</xdr:row>
      <xdr:rowOff>60960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335280</xdr:colOff>
      <xdr:row>164</xdr:row>
      <xdr:rowOff>15240</xdr:rowOff>
    </xdr:from>
    <xdr:to>
      <xdr:col>10</xdr:col>
      <xdr:colOff>1584960</xdr:colOff>
      <xdr:row>190</xdr:row>
      <xdr:rowOff>152400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327660</xdr:colOff>
      <xdr:row>136</xdr:row>
      <xdr:rowOff>45720</xdr:rowOff>
    </xdr:from>
    <xdr:to>
      <xdr:col>10</xdr:col>
      <xdr:colOff>1569720</xdr:colOff>
      <xdr:row>163</xdr:row>
      <xdr:rowOff>7620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1266825</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362950" cy="1219200"/>
        </a:xfrm>
        <a:prstGeom prst="rect">
          <a:avLst/>
        </a:prstGeom>
        <a:noFill/>
      </xdr:spPr>
    </xdr:pic>
    <xdr:clientData/>
  </xdr:twoCellAnchor>
  <xdr:oneCellAnchor>
    <xdr:from>
      <xdr:col>0</xdr:col>
      <xdr:colOff>266700</xdr:colOff>
      <xdr:row>12</xdr:row>
      <xdr:rowOff>47625</xdr:rowOff>
    </xdr:from>
    <xdr:ext cx="6448425" cy="311496"/>
    <xdr:sp macro="" textlink="">
      <xdr:nvSpPr>
        <xdr:cNvPr id="4" name="TextBox 3"/>
        <xdr:cNvSpPr txBox="1"/>
      </xdr:nvSpPr>
      <xdr:spPr>
        <a:xfrm>
          <a:off x="266700" y="2333625"/>
          <a:ext cx="6448425" cy="31149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Please refer to the links below for more information.</a:t>
          </a:r>
          <a:endParaRPr lang="en-US" sz="1400">
            <a:solidFill>
              <a:schemeClr val="tx1"/>
            </a:solidFill>
            <a:latin typeface="+mn-lt"/>
            <a:ea typeface="+mn-ea"/>
            <a:cs typeface="+mn-cs"/>
          </a:endParaRPr>
        </a:p>
      </xdr:txBody>
    </xdr:sp>
    <xdr:clientData/>
  </xdr:oneCellAnchor>
  <xdr:twoCellAnchor>
    <xdr:from>
      <xdr:col>0</xdr:col>
      <xdr:colOff>259080</xdr:colOff>
      <xdr:row>5</xdr:row>
      <xdr:rowOff>108587</xdr:rowOff>
    </xdr:from>
    <xdr:to>
      <xdr:col>2</xdr:col>
      <xdr:colOff>1291590</xdr:colOff>
      <xdr:row>7</xdr:row>
      <xdr:rowOff>108587</xdr:rowOff>
    </xdr:to>
    <xdr:sp macro="" textlink="">
      <xdr:nvSpPr>
        <xdr:cNvPr id="5" name="Flowchart: Process 4">
          <a:hlinkClick xmlns:r="http://schemas.openxmlformats.org/officeDocument/2006/relationships" r:id="rId2"/>
        </xdr:cNvPr>
        <xdr:cNvSpPr/>
      </xdr:nvSpPr>
      <xdr:spPr>
        <a:xfrm>
          <a:off x="259080" y="1061087"/>
          <a:ext cx="1546860" cy="381000"/>
        </a:xfrm>
        <a:prstGeom prst="flowChartProcess">
          <a:avLst/>
        </a:prstGeom>
        <a:solidFill>
          <a:schemeClr val="accent4"/>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Start</a:t>
          </a:r>
        </a:p>
      </xdr:txBody>
    </xdr:sp>
    <xdr:clientData/>
  </xdr:twoCellAnchor>
  <xdr:oneCellAnchor>
    <xdr:from>
      <xdr:col>0</xdr:col>
      <xdr:colOff>281940</xdr:colOff>
      <xdr:row>7</xdr:row>
      <xdr:rowOff>144780</xdr:rowOff>
    </xdr:from>
    <xdr:ext cx="6537960" cy="468013"/>
    <xdr:sp macro="" textlink="">
      <xdr:nvSpPr>
        <xdr:cNvPr id="8" name="TextBox 7"/>
        <xdr:cNvSpPr txBox="1"/>
      </xdr:nvSpPr>
      <xdr:spPr>
        <a:xfrm>
          <a:off x="281940" y="1478280"/>
          <a:ext cx="6537960"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Resources</a:t>
          </a:r>
          <a:endParaRPr lang="en-US" sz="2400" b="1" baseline="0"/>
        </a:p>
      </xdr:txBody>
    </xdr:sp>
    <xdr:clientData/>
  </xdr:oneCellAnchor>
  <xdr:twoCellAnchor editAs="oneCell">
    <xdr:from>
      <xdr:col>0</xdr:col>
      <xdr:colOff>76200</xdr:colOff>
      <xdr:row>0</xdr:row>
      <xdr:rowOff>180975</xdr:rowOff>
    </xdr:from>
    <xdr:to>
      <xdr:col>5</xdr:col>
      <xdr:colOff>34290</xdr:colOff>
      <xdr:row>4</xdr:row>
      <xdr:rowOff>180975</xdr:rowOff>
    </xdr:to>
    <xdr:pic>
      <xdr:nvPicPr>
        <xdr:cNvPr id="9" name="Picture 8" descr="FSE logo.gif"/>
        <xdr:cNvPicPr>
          <a:picLocks noChangeAspect="1"/>
        </xdr:cNvPicPr>
      </xdr:nvPicPr>
      <xdr:blipFill>
        <a:blip xmlns:r="http://schemas.openxmlformats.org/officeDocument/2006/relationships" r:embed="rId3"/>
        <a:stretch>
          <a:fillRect/>
        </a:stretch>
      </xdr:blipFill>
      <xdr:spPr>
        <a:xfrm>
          <a:off x="76200" y="180975"/>
          <a:ext cx="3558540" cy="762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38</xdr:col>
      <xdr:colOff>499110</xdr:colOff>
      <xdr:row>1</xdr:row>
      <xdr:rowOff>236220</xdr:rowOff>
    </xdr:from>
    <xdr:to>
      <xdr:col>46</xdr:col>
      <xdr:colOff>194310</xdr:colOff>
      <xdr:row>11</xdr:row>
      <xdr:rowOff>121920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318135</xdr:colOff>
      <xdr:row>41</xdr:row>
      <xdr:rowOff>59055</xdr:rowOff>
    </xdr:from>
    <xdr:to>
      <xdr:col>54</xdr:col>
      <xdr:colOff>13335</xdr:colOff>
      <xdr:row>55</xdr:row>
      <xdr:rowOff>127635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51</xdr:col>
      <xdr:colOff>175260</xdr:colOff>
      <xdr:row>7</xdr:row>
      <xdr:rowOff>26670</xdr:rowOff>
    </xdr:from>
    <xdr:to>
      <xdr:col>58</xdr:col>
      <xdr:colOff>365760</xdr:colOff>
      <xdr:row>21</xdr:row>
      <xdr:rowOff>95250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53</xdr:col>
      <xdr:colOff>535305</xdr:colOff>
      <xdr:row>40</xdr:row>
      <xdr:rowOff>78105</xdr:rowOff>
    </xdr:from>
    <xdr:to>
      <xdr:col>61</xdr:col>
      <xdr:colOff>230505</xdr:colOff>
      <xdr:row>54</xdr:row>
      <xdr:rowOff>146685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58</xdr:col>
      <xdr:colOff>643890</xdr:colOff>
      <xdr:row>7</xdr:row>
      <xdr:rowOff>173355</xdr:rowOff>
    </xdr:from>
    <xdr:to>
      <xdr:col>65</xdr:col>
      <xdr:colOff>605790</xdr:colOff>
      <xdr:row>22</xdr:row>
      <xdr:rowOff>66675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304800</xdr:colOff>
      <xdr:row>40</xdr:row>
      <xdr:rowOff>123825</xdr:rowOff>
    </xdr:from>
    <xdr:to>
      <xdr:col>73</xdr:col>
      <xdr:colOff>0</xdr:colOff>
      <xdr:row>55</xdr:row>
      <xdr:rowOff>17145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160020</xdr:colOff>
      <xdr:row>12</xdr:row>
      <xdr:rowOff>87630</xdr:rowOff>
    </xdr:from>
    <xdr:to>
      <xdr:col>78</xdr:col>
      <xdr:colOff>464820</xdr:colOff>
      <xdr:row>26</xdr:row>
      <xdr:rowOff>163830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75</xdr:col>
      <xdr:colOff>480060</xdr:colOff>
      <xdr:row>40</xdr:row>
      <xdr:rowOff>163830</xdr:rowOff>
    </xdr:from>
    <xdr:to>
      <xdr:col>83</xdr:col>
      <xdr:colOff>175260</xdr:colOff>
      <xdr:row>55</xdr:row>
      <xdr:rowOff>49530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xdr:col>
      <xdr:colOff>251460</xdr:colOff>
      <xdr:row>7</xdr:row>
      <xdr:rowOff>106680</xdr:rowOff>
    </xdr:from>
    <xdr:to>
      <xdr:col>45</xdr:col>
      <xdr:colOff>556260</xdr:colOff>
      <xdr:row>22</xdr:row>
      <xdr:rowOff>106680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51</xdr:col>
      <xdr:colOff>205740</xdr:colOff>
      <xdr:row>8</xdr:row>
      <xdr:rowOff>160020</xdr:rowOff>
    </xdr:from>
    <xdr:to>
      <xdr:col>58</xdr:col>
      <xdr:colOff>396240</xdr:colOff>
      <xdr:row>23</xdr:row>
      <xdr:rowOff>160020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51</xdr:col>
      <xdr:colOff>205740</xdr:colOff>
      <xdr:row>10</xdr:row>
      <xdr:rowOff>144780</xdr:rowOff>
    </xdr:from>
    <xdr:to>
      <xdr:col>58</xdr:col>
      <xdr:colOff>396240</xdr:colOff>
      <xdr:row>25</xdr:row>
      <xdr:rowOff>144780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46</xdr:col>
      <xdr:colOff>259080</xdr:colOff>
      <xdr:row>46</xdr:row>
      <xdr:rowOff>121920</xdr:rowOff>
    </xdr:from>
    <xdr:to>
      <xdr:col>53</xdr:col>
      <xdr:colOff>381000</xdr:colOff>
      <xdr:row>61</xdr:row>
      <xdr:rowOff>121920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51</xdr:col>
      <xdr:colOff>243840</xdr:colOff>
      <xdr:row>13</xdr:row>
      <xdr:rowOff>22860</xdr:rowOff>
    </xdr:from>
    <xdr:to>
      <xdr:col>58</xdr:col>
      <xdr:colOff>434340</xdr:colOff>
      <xdr:row>28</xdr:row>
      <xdr:rowOff>22860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65</xdr:col>
      <xdr:colOff>388620</xdr:colOff>
      <xdr:row>43</xdr:row>
      <xdr:rowOff>7620</xdr:rowOff>
    </xdr:from>
    <xdr:to>
      <xdr:col>73</xdr:col>
      <xdr:colOff>83820</xdr:colOff>
      <xdr:row>58</xdr:row>
      <xdr:rowOff>7620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76</xdr:col>
      <xdr:colOff>228600</xdr:colOff>
      <xdr:row>31</xdr:row>
      <xdr:rowOff>152400</xdr:rowOff>
    </xdr:from>
    <xdr:to>
      <xdr:col>83</xdr:col>
      <xdr:colOff>533400</xdr:colOff>
      <xdr:row>46</xdr:row>
      <xdr:rowOff>152400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42</xdr:col>
      <xdr:colOff>152400</xdr:colOff>
      <xdr:row>35</xdr:row>
      <xdr:rowOff>68580</xdr:rowOff>
    </xdr:from>
    <xdr:to>
      <xdr:col>49</xdr:col>
      <xdr:colOff>365760</xdr:colOff>
      <xdr:row>50</xdr:row>
      <xdr:rowOff>68580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44</xdr:col>
      <xdr:colOff>371475</xdr:colOff>
      <xdr:row>68</xdr:row>
      <xdr:rowOff>9525</xdr:rowOff>
    </xdr:from>
    <xdr:to>
      <xdr:col>51</xdr:col>
      <xdr:colOff>561975</xdr:colOff>
      <xdr:row>82</xdr:row>
      <xdr:rowOff>9525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53</xdr:col>
      <xdr:colOff>285750</xdr:colOff>
      <xdr:row>68</xdr:row>
      <xdr:rowOff>152400</xdr:rowOff>
    </xdr:from>
    <xdr:to>
      <xdr:col>65</xdr:col>
      <xdr:colOff>342900</xdr:colOff>
      <xdr:row>90</xdr:row>
      <xdr:rowOff>152400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590551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 y="0"/>
          <a:ext cx="8515350" cy="1219200"/>
        </a:xfrm>
        <a:prstGeom prst="rect">
          <a:avLst/>
        </a:prstGeom>
        <a:noFill/>
      </xdr:spPr>
    </xdr:pic>
    <xdr:clientData/>
  </xdr:twoCellAnchor>
  <xdr:oneCellAnchor>
    <xdr:from>
      <xdr:col>8</xdr:col>
      <xdr:colOff>438151</xdr:colOff>
      <xdr:row>2</xdr:row>
      <xdr:rowOff>19050</xdr:rowOff>
    </xdr:from>
    <xdr:ext cx="3200399" cy="468013"/>
    <xdr:sp macro="" textlink="">
      <xdr:nvSpPr>
        <xdr:cNvPr id="3" name="TextBox 2"/>
        <xdr:cNvSpPr txBox="1"/>
      </xdr:nvSpPr>
      <xdr:spPr>
        <a:xfrm>
          <a:off x="5314951" y="400050"/>
          <a:ext cx="3200399"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Capacity</a:t>
          </a:r>
          <a:r>
            <a:rPr lang="en-US" sz="2400" b="1" baseline="0"/>
            <a:t> Planning  Tool</a:t>
          </a:r>
        </a:p>
      </xdr:txBody>
    </xdr:sp>
    <xdr:clientData/>
  </xdr:oneCellAnchor>
  <xdr:oneCellAnchor>
    <xdr:from>
      <xdr:col>0</xdr:col>
      <xdr:colOff>133350</xdr:colOff>
      <xdr:row>5</xdr:row>
      <xdr:rowOff>133350</xdr:rowOff>
    </xdr:from>
    <xdr:ext cx="8601076" cy="18037117"/>
    <xdr:sp macro="" textlink="">
      <xdr:nvSpPr>
        <xdr:cNvPr id="4" name="TextBox 3"/>
        <xdr:cNvSpPr txBox="1"/>
      </xdr:nvSpPr>
      <xdr:spPr>
        <a:xfrm>
          <a:off x="133350" y="1085850"/>
          <a:ext cx="8601076" cy="180371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This tool has a specific purpose and a limited scope. Please carefully read this entire page to understand</a:t>
          </a:r>
          <a:r>
            <a:rPr lang="en-US" sz="1100" b="1" baseline="0"/>
            <a:t> the data output by this tool and how to use it properly. </a:t>
          </a:r>
          <a:endParaRPr lang="en-US" sz="1100" b="1"/>
        </a:p>
        <a:p>
          <a:endParaRPr lang="en-US" sz="1100" b="1"/>
        </a:p>
        <a:p>
          <a:r>
            <a:rPr lang="en-US" sz="1100" b="1"/>
            <a:t>Description:</a:t>
          </a:r>
          <a:r>
            <a:rPr lang="en-US" sz="1100" b="1" baseline="0"/>
            <a:t> </a:t>
          </a:r>
          <a:r>
            <a:rPr lang="en-US" sz="1100" baseline="0"/>
            <a:t>The Microsoft Forefront Security for Exchange Server (FSE) capacity planning tool acts as a complement to a Microsoft Exchange Server capacity plan to help you understand the additional computing power required to add Forefront Security for Exchange Server to an Exchange Server environment. Whether you are planning an Exchange deployment or you are adding Forefront Security for Exchange Server to your existing Exchange environment, you can use this tool to estimate the total hardware required to run </a:t>
          </a:r>
          <a:r>
            <a:rPr lang="en-US" sz="1100" baseline="0">
              <a:solidFill>
                <a:schemeClr val="tx1"/>
              </a:solidFill>
              <a:latin typeface="+mn-lt"/>
              <a:ea typeface="+mn-ea"/>
              <a:cs typeface="+mn-cs"/>
            </a:rPr>
            <a:t>Forefront Security for Exchange Server on </a:t>
          </a:r>
          <a:r>
            <a:rPr lang="en-US" sz="1100" baseline="0"/>
            <a:t>your Microsoft Exchange Server infrastructure. </a:t>
          </a:r>
          <a:r>
            <a:rPr lang="en-US" sz="1100" baseline="0">
              <a:solidFill>
                <a:schemeClr val="tx1"/>
              </a:solidFill>
              <a:latin typeface="+mn-lt"/>
              <a:ea typeface="+mn-ea"/>
              <a:cs typeface="+mn-cs"/>
            </a:rPr>
            <a:t>Based on knowledge of your unique environment and requirements, you can use the information from this tool to help make decisions about </a:t>
          </a:r>
          <a:r>
            <a:rPr lang="en-US" sz="1100" baseline="0"/>
            <a:t>scaling your infrastructure to maximize performance without over-allocating server hardware when you deploy </a:t>
          </a:r>
          <a:r>
            <a:rPr lang="en-US" sz="1100" baseline="0">
              <a:solidFill>
                <a:schemeClr val="tx1"/>
              </a:solidFill>
              <a:latin typeface="+mn-lt"/>
              <a:ea typeface="+mn-ea"/>
              <a:cs typeface="+mn-cs"/>
            </a:rPr>
            <a:t>Forefront Security for Exchange Server. </a:t>
          </a:r>
        </a:p>
        <a:p>
          <a:endParaRPr lang="en-US" sz="1100" baseline="0">
            <a:solidFill>
              <a:schemeClr val="tx1"/>
            </a:solidFill>
            <a:latin typeface="+mn-lt"/>
            <a:ea typeface="+mn-ea"/>
            <a:cs typeface="+mn-cs"/>
          </a:endParaRPr>
        </a:p>
        <a:p>
          <a:r>
            <a:rPr lang="en-US" sz="1100" b="1" baseline="0">
              <a:solidFill>
                <a:schemeClr val="tx1"/>
              </a:solidFill>
              <a:latin typeface="+mn-lt"/>
              <a:ea typeface="+mn-ea"/>
              <a:cs typeface="+mn-cs"/>
            </a:rPr>
            <a:t>NOTE: </a:t>
          </a:r>
          <a:r>
            <a:rPr lang="en-US" sz="1100" i="1" baseline="0">
              <a:solidFill>
                <a:schemeClr val="tx1"/>
              </a:solidFill>
              <a:latin typeface="+mn-lt"/>
              <a:ea typeface="+mn-ea"/>
              <a:cs typeface="+mn-cs"/>
            </a:rPr>
            <a:t>This capacity planning tool is not a replacement for thorough Exchange capacity planning</a:t>
          </a:r>
          <a:r>
            <a:rPr lang="en-US" sz="1100" i="0" baseline="0">
              <a:solidFill>
                <a:schemeClr val="tx1"/>
              </a:solidFill>
              <a:latin typeface="+mn-lt"/>
              <a:ea typeface="+mn-ea"/>
              <a:cs typeface="+mn-cs"/>
            </a:rPr>
            <a:t>.</a:t>
          </a:r>
          <a:r>
            <a:rPr lang="en-US" sz="1100" baseline="0">
              <a:solidFill>
                <a:schemeClr val="tx1"/>
              </a:solidFill>
              <a:latin typeface="+mn-lt"/>
              <a:ea typeface="+mn-ea"/>
              <a:cs typeface="+mn-cs"/>
            </a:rPr>
            <a:t> It should not be used to create an Exchange capacity plan, nor should you base hardware purchase decisions exclusively on the information gleaned from this tool. Rather, this tool should be used to help further inform a detailed Exchange capacity plan. </a:t>
          </a:r>
        </a:p>
        <a:p>
          <a:endParaRPr lang="en-US" sz="1100" baseline="0">
            <a:solidFill>
              <a:schemeClr val="tx1"/>
            </a:solidFill>
            <a:latin typeface="+mn-lt"/>
            <a:ea typeface="+mn-ea"/>
            <a:cs typeface="+mn-cs"/>
          </a:endParaRPr>
        </a:p>
        <a:p>
          <a:r>
            <a:rPr lang="en-US" sz="1100" b="1">
              <a:solidFill>
                <a:schemeClr val="tx1"/>
              </a:solidFill>
              <a:latin typeface="+mn-lt"/>
              <a:ea typeface="+mn-ea"/>
              <a:cs typeface="+mn-cs"/>
            </a:rPr>
            <a:t>MICROSOFT PROVIDES THE CAPACITY PLANNING TOOL “AS IS” TO END USERS AND WITHOUT SUPPORT. </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r>
            <a:rPr lang="en-US" sz="1100" b="1">
              <a:solidFill>
                <a:schemeClr val="tx1"/>
              </a:solidFill>
              <a:latin typeface="+mn-lt"/>
              <a:ea typeface="+mn-ea"/>
              <a:cs typeface="+mn-cs"/>
            </a:rPr>
            <a:t>The Capacity Planning Tool is designed to help you estimate your Microsoft Exchange capacity needs, and is intended to assist but not replace your complete Microsoft Exchange capacity planning. Network configurations vary, so you may need more software and/or hardware than that which the Capacity Planning Tool estimates in order to effectively deploy Microsoft Exchange Server and/or Microsoft Forefront Security for Exchange Server on your network. </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r>
            <a:rPr lang="en-US" sz="1100" b="1">
              <a:solidFill>
                <a:schemeClr val="tx1"/>
              </a:solidFill>
              <a:latin typeface="+mn-lt"/>
              <a:ea typeface="+mn-ea"/>
              <a:cs typeface="+mn-cs"/>
            </a:rPr>
            <a:t>You may use the Capacity Planning Tool only to estimate the Microsoft Exchange Server capacity needs for your network and not for any other purpose.</a:t>
          </a:r>
          <a:endParaRPr lang="en-US" sz="1100">
            <a:solidFill>
              <a:schemeClr val="tx1"/>
            </a:solidFill>
            <a:latin typeface="+mn-lt"/>
            <a:ea typeface="+mn-ea"/>
            <a:cs typeface="+mn-cs"/>
          </a:endParaRPr>
        </a:p>
        <a:p>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All organizations are unique, and they have requirements, policies, behaviors, and cultures that guide the specification of requirements and inform hardware purchase decisions. The output from this tool gives you an idea of the additional load created by Forefront Security for Exchange Server on sample server environments created for each of the reference architectures. You can use the data we collected from the sample environments to understand how Forefront Security for Exchange Server impacts utilization and performance, and that understanding can be combined with the Exchange capacity plan and your knowledge about the organization and its IT landscape to help guide decisions.</a:t>
          </a:r>
        </a:p>
        <a:p>
          <a:endParaRPr lang="en-US" sz="1100" baseline="0">
            <a:solidFill>
              <a:schemeClr val="tx1"/>
            </a:solidFill>
            <a:latin typeface="+mn-lt"/>
            <a:ea typeface="+mn-ea"/>
            <a:cs typeface="+mn-cs"/>
          </a:endParaRPr>
        </a:p>
        <a:p>
          <a:r>
            <a:rPr lang="en-US" sz="1100" b="1" baseline="0">
              <a:solidFill>
                <a:schemeClr val="tx1"/>
              </a:solidFill>
              <a:latin typeface="+mn-lt"/>
              <a:ea typeface="+mn-ea"/>
              <a:cs typeface="+mn-cs"/>
            </a:rPr>
            <a:t>Background: </a:t>
          </a:r>
          <a:r>
            <a:rPr lang="en-US" sz="1100" baseline="0">
              <a:solidFill>
                <a:schemeClr val="tx1"/>
              </a:solidFill>
              <a:latin typeface="+mn-lt"/>
              <a:ea typeface="+mn-ea"/>
              <a:cs typeface="+mn-cs"/>
            </a:rPr>
            <a:t>It is not logistically feasible to test every possible combination of deployment scenario, application configuration, and user load profile. Therefore, Microsoft established a baseline for each reference architecture using FSE Service Pack 1 (SP1) and then identified a total of 80 different test scenarios to run the reference architectures, plus an additional 30 scenarios to run specifically against the edge. Details about baseline settings and hardware specifications are below. The data collected from the test environments enabled us to predict the additional computing resources consumed based on the various settings, message rates, and so forth. </a:t>
          </a:r>
        </a:p>
        <a:p>
          <a:endParaRPr lang="en-US" sz="1100" baseline="0">
            <a:solidFill>
              <a:schemeClr val="tx1"/>
            </a:solidFill>
            <a:latin typeface="+mn-lt"/>
            <a:ea typeface="+mn-ea"/>
            <a:cs typeface="+mn-cs"/>
          </a:endParaRPr>
        </a:p>
        <a:p>
          <a:r>
            <a:rPr lang="en-US" sz="1100" b="1" baseline="0">
              <a:solidFill>
                <a:schemeClr val="tx1"/>
              </a:solidFill>
              <a:latin typeface="+mn-lt"/>
              <a:ea typeface="+mn-ea"/>
              <a:cs typeface="+mn-cs"/>
            </a:rPr>
            <a:t>FSE Settings: </a:t>
          </a:r>
          <a:r>
            <a:rPr lang="en-US" sz="1100" baseline="0">
              <a:solidFill>
                <a:schemeClr val="tx1"/>
              </a:solidFill>
              <a:latin typeface="+mn-lt"/>
              <a:ea typeface="+mn-ea"/>
              <a:cs typeface="+mn-cs"/>
            </a:rPr>
            <a:t>Forefront Security for Exchange Server (FSE) is highly configurable and has many settings. In this tool, you are using settings that have a practical impact on performance. There are a number of other settings that have minimal or no performance impact and are not included in the tool. </a:t>
          </a:r>
        </a:p>
        <a:p>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This tool refers to user load profiles, which characterize the e-mail usage patterns across an organization. The profiles correspond to specific data as follows:</a:t>
          </a:r>
        </a:p>
        <a:p>
          <a:endParaRPr lang="en-US" sz="1100"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endParaRPr lang="en-US" sz="1100" b="1" baseline="0">
            <a:solidFill>
              <a:schemeClr val="tx1"/>
            </a:solidFill>
            <a:latin typeface="+mn-lt"/>
            <a:ea typeface="+mn-ea"/>
            <a:cs typeface="+mn-cs"/>
          </a:endParaRPr>
        </a:p>
        <a:p>
          <a:r>
            <a:rPr lang="en-US" sz="1100" b="0" baseline="0">
              <a:solidFill>
                <a:schemeClr val="tx1"/>
              </a:solidFill>
              <a:latin typeface="+mn-lt"/>
              <a:ea typeface="+mn-ea"/>
              <a:cs typeface="+mn-cs"/>
            </a:rPr>
            <a:t>Note these values, and then select the user load profile that corresponds most closely to the e-mail usage patterns in your organization.</a:t>
          </a:r>
        </a:p>
        <a:p>
          <a:endParaRPr lang="en-US" sz="1100" b="1" baseline="0">
            <a:solidFill>
              <a:schemeClr val="tx1"/>
            </a:solidFill>
            <a:latin typeface="+mn-lt"/>
            <a:ea typeface="+mn-ea"/>
            <a:cs typeface="+mn-cs"/>
          </a:endParaRPr>
        </a:p>
        <a:p>
          <a:r>
            <a:rPr lang="en-US" sz="1100" b="1" baseline="0">
              <a:solidFill>
                <a:schemeClr val="tx1"/>
              </a:solidFill>
              <a:latin typeface="+mn-lt"/>
              <a:ea typeface="+mn-ea"/>
              <a:cs typeface="+mn-cs"/>
            </a:rPr>
            <a:t>Reference Architectures:  </a:t>
          </a:r>
          <a:endParaRPr lang="en-US" sz="1100" b="1">
            <a:solidFill>
              <a:schemeClr val="tx1"/>
            </a:solidFill>
            <a:latin typeface="+mn-lt"/>
            <a:ea typeface="+mn-ea"/>
            <a:cs typeface="+mn-cs"/>
          </a:endParaRPr>
        </a:p>
        <a:p>
          <a:r>
            <a:rPr lang="en-US" sz="1100" baseline="0">
              <a:solidFill>
                <a:schemeClr val="tx1"/>
              </a:solidFill>
              <a:latin typeface="+mn-lt"/>
              <a:ea typeface="+mn-ea"/>
              <a:cs typeface="+mn-cs"/>
            </a:rPr>
            <a:t>The results used to create this capacity planning tool were derived from two reference architectures for Forefront Security for Exchange Server: Standard and Enterprise. </a:t>
          </a:r>
        </a:p>
        <a:p>
          <a:endParaRPr lang="en-US" sz="1100" baseline="0">
            <a:solidFill>
              <a:schemeClr val="tx1"/>
            </a:solidFill>
            <a:latin typeface="+mn-lt"/>
            <a:ea typeface="+mn-ea"/>
            <a:cs typeface="+mn-cs"/>
          </a:endParaRPr>
        </a:p>
        <a:p>
          <a:r>
            <a:rPr lang="en-US" sz="1100" b="0" baseline="0">
              <a:solidFill>
                <a:schemeClr val="tx1"/>
              </a:solidFill>
              <a:latin typeface="+mn-lt"/>
              <a:ea typeface="+mn-ea"/>
              <a:cs typeface="+mn-cs"/>
            </a:rPr>
            <a:t>     </a:t>
          </a:r>
          <a:r>
            <a:rPr lang="en-US" sz="1100" b="1" baseline="0">
              <a:solidFill>
                <a:schemeClr val="tx1"/>
              </a:solidFill>
              <a:latin typeface="+mn-lt"/>
              <a:ea typeface="+mn-ea"/>
              <a:cs typeface="+mn-cs"/>
            </a:rPr>
            <a:t>Standard Reference Architecture (SRA):</a:t>
          </a:r>
        </a:p>
        <a:p>
          <a:r>
            <a:rPr lang="en-US" sz="1100" baseline="0">
              <a:solidFill>
                <a:schemeClr val="tx1"/>
              </a:solidFill>
              <a:latin typeface="+mn-lt"/>
              <a:ea typeface="+mn-ea"/>
              <a:cs typeface="+mn-cs"/>
            </a:rPr>
            <a:t>     The SRA combines the hub and mailbox roles on a multi-role </a:t>
          </a:r>
        </a:p>
        <a:p>
          <a:r>
            <a:rPr lang="en-US" sz="1100" baseline="0">
              <a:solidFill>
                <a:schemeClr val="tx1"/>
              </a:solidFill>
              <a:latin typeface="+mn-lt"/>
              <a:ea typeface="+mn-ea"/>
              <a:cs typeface="+mn-cs"/>
            </a:rPr>
            <a:t>     server.  </a:t>
          </a:r>
        </a:p>
        <a:p>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     In our environment, the SRA was deployed with 1,600 users </a:t>
          </a:r>
        </a:p>
        <a:p>
          <a:r>
            <a:rPr lang="en-US" sz="1100" baseline="0">
              <a:solidFill>
                <a:schemeClr val="tx1"/>
              </a:solidFill>
              <a:latin typeface="+mn-lt"/>
              <a:ea typeface="+mn-ea"/>
              <a:cs typeface="+mn-cs"/>
            </a:rPr>
            <a:t>     with an "average" user load profile.</a:t>
          </a:r>
        </a:p>
        <a:p>
          <a:endParaRPr lang="en-US" sz="1100" baseline="0">
            <a:solidFill>
              <a:schemeClr val="tx1"/>
            </a:solidFill>
            <a:latin typeface="+mn-lt"/>
            <a:ea typeface="+mn-ea"/>
            <a:cs typeface="+mn-cs"/>
          </a:endParaRPr>
        </a:p>
        <a:p>
          <a:endParaRPr lang="en-US"/>
        </a:p>
        <a:p>
          <a:pPr fontAlgn="base"/>
          <a:endParaRPr lang="en-US" sz="1100" baseline="0">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Enterprise Reference Architecture (ERA):</a:t>
          </a:r>
        </a:p>
        <a:p>
          <a:pPr eaLnBrk="1" fontAlgn="auto" latinLnBrk="0" hangingPunct="1"/>
          <a:r>
            <a:rPr lang="en-US" sz="1100" b="0">
              <a:solidFill>
                <a:schemeClr val="tx1"/>
              </a:solidFill>
              <a:latin typeface="+mn-lt"/>
              <a:ea typeface="+mn-ea"/>
              <a:cs typeface="+mn-cs"/>
            </a:rPr>
            <a:t>     The ERA breaks out roles for the hub</a:t>
          </a:r>
          <a:r>
            <a:rPr lang="en-US" sz="1100" b="0" baseline="0">
              <a:solidFill>
                <a:schemeClr val="tx1"/>
              </a:solidFill>
              <a:latin typeface="+mn-lt"/>
              <a:ea typeface="+mn-ea"/>
              <a:cs typeface="+mn-cs"/>
            </a:rPr>
            <a:t> and mailbox servers.</a:t>
          </a:r>
          <a:endParaRPr lang="en-US" sz="1100" b="0">
            <a:solidFill>
              <a:schemeClr val="tx1"/>
            </a:solidFill>
            <a:latin typeface="+mn-lt"/>
            <a:ea typeface="+mn-ea"/>
            <a:cs typeface="+mn-cs"/>
          </a:endParaRPr>
        </a:p>
        <a:p>
          <a:pPr eaLnBrk="1" fontAlgn="auto" latinLnBrk="0" hangingPunct="1"/>
          <a:endParaRPr lang="en-US" sz="1100" b="1">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a:t>
          </a:r>
          <a:r>
            <a:rPr lang="en-US" sz="1100" b="0">
              <a:solidFill>
                <a:schemeClr val="tx1"/>
              </a:solidFill>
              <a:latin typeface="+mn-lt"/>
              <a:ea typeface="+mn-ea"/>
              <a:cs typeface="+mn-cs"/>
            </a:rPr>
            <a:t>In our environment, the ERA was deployed with two mailbox</a:t>
          </a:r>
        </a:p>
        <a:p>
          <a:pPr eaLnBrk="1" fontAlgn="auto" latinLnBrk="0" hangingPunct="1"/>
          <a:r>
            <a:rPr lang="en-US" sz="1100" b="0">
              <a:solidFill>
                <a:schemeClr val="tx1"/>
              </a:solidFill>
              <a:latin typeface="+mn-lt"/>
              <a:ea typeface="+mn-ea"/>
              <a:cs typeface="+mn-cs"/>
            </a:rPr>
            <a:t>     servers. Each mailbox server</a:t>
          </a:r>
          <a:r>
            <a:rPr lang="en-US" sz="1100" b="0" baseline="0">
              <a:solidFill>
                <a:schemeClr val="tx1"/>
              </a:solidFill>
              <a:latin typeface="+mn-lt"/>
              <a:ea typeface="+mn-ea"/>
              <a:cs typeface="+mn-cs"/>
            </a:rPr>
            <a:t> had 1,000 users with a "heavy" </a:t>
          </a:r>
          <a:endParaRPr lang="en-US" sz="1100" b="0">
            <a:solidFill>
              <a:schemeClr val="tx1"/>
            </a:solidFill>
            <a:latin typeface="+mn-lt"/>
            <a:ea typeface="+mn-ea"/>
            <a:cs typeface="+mn-cs"/>
          </a:endParaRPr>
        </a:p>
        <a:p>
          <a:pPr eaLnBrk="1" fontAlgn="auto" latinLnBrk="0" hangingPunct="1"/>
          <a:r>
            <a:rPr lang="en-US" sz="1100" b="0">
              <a:solidFill>
                <a:schemeClr val="tx1"/>
              </a:solidFill>
              <a:latin typeface="+mn-lt"/>
              <a:ea typeface="+mn-ea"/>
              <a:cs typeface="+mn-cs"/>
            </a:rPr>
            <a:t>     user</a:t>
          </a:r>
          <a:r>
            <a:rPr lang="en-US" sz="1100" b="0" baseline="0">
              <a:solidFill>
                <a:schemeClr val="tx1"/>
              </a:solidFill>
              <a:latin typeface="+mn-lt"/>
              <a:ea typeface="+mn-ea"/>
              <a:cs typeface="+mn-cs"/>
            </a:rPr>
            <a:t> load profile.</a:t>
          </a:r>
          <a:endParaRPr lang="en-US" sz="1100" b="0">
            <a:solidFill>
              <a:schemeClr val="tx1"/>
            </a:solidFill>
            <a:latin typeface="+mn-lt"/>
            <a:ea typeface="+mn-ea"/>
            <a:cs typeface="+mn-cs"/>
          </a:endParaRP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b="1"/>
            <a:t>Recommended</a:t>
          </a:r>
          <a:r>
            <a:rPr lang="en-US" sz="1100" b="1" baseline="0"/>
            <a:t> Hardware: </a:t>
          </a:r>
        </a:p>
        <a:p>
          <a:r>
            <a:rPr lang="en-US" sz="1100" baseline="0"/>
            <a:t>In line with Microsoft Exchange Server 2007 hardware recommendations, we recommend that you use an enterprise-class server device with:</a:t>
          </a:r>
        </a:p>
        <a:p>
          <a:r>
            <a:rPr lang="en-US" sz="1100" baseline="0"/>
            <a:t>	Processor - 4 cores</a:t>
          </a:r>
        </a:p>
        <a:p>
          <a:r>
            <a:rPr lang="en-US" sz="1100" baseline="0"/>
            <a:t>	Memory - 4 GB RAM</a:t>
          </a:r>
        </a:p>
        <a:p>
          <a:endParaRPr lang="en-US" sz="1100" baseline="0"/>
        </a:p>
        <a:p>
          <a:r>
            <a:rPr lang="en-US" sz="1100" baseline="0"/>
            <a:t>Hardware recommendations output by the tool use this as the baseline.</a:t>
          </a:r>
        </a:p>
        <a:p>
          <a:endParaRPr lang="en-US" sz="1100" baseline="0"/>
        </a:p>
        <a:p>
          <a:r>
            <a:rPr lang="en-US" sz="1100" b="1" baseline="0"/>
            <a:t>Hardware Utilized:</a:t>
          </a:r>
        </a:p>
        <a:p>
          <a:r>
            <a:rPr lang="en-US" sz="1100" baseline="0"/>
            <a:t>In this study, servers were configured as follows:</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t>	</a:t>
          </a:r>
          <a:r>
            <a:rPr lang="en-US" sz="1100" b="1" baseline="0"/>
            <a:t>Edge and hub servers </a:t>
          </a:r>
          <a:r>
            <a:rPr lang="en-US" sz="1100" baseline="0"/>
            <a:t>- </a:t>
          </a:r>
          <a:r>
            <a:rPr lang="en-US" sz="1100" baseline="0">
              <a:solidFill>
                <a:schemeClr val="tx1"/>
              </a:solidFill>
              <a:latin typeface="+mn-lt"/>
              <a:ea typeface="+mn-ea"/>
              <a:cs typeface="+mn-cs"/>
            </a:rPr>
            <a:t>HP DL380G4, </a:t>
          </a:r>
          <a:r>
            <a:rPr lang="en-US" sz="1100" baseline="0"/>
            <a:t>2 Intel Xeon 3-GHz hyper-threaded processors, 4 GB RAM, connected to an HP 	Storage Area Network (SAN) via Fibre Channel		</a:t>
          </a:r>
        </a:p>
        <a:p>
          <a:r>
            <a:rPr lang="en-US" sz="1100" baseline="0"/>
            <a:t>	</a:t>
          </a:r>
          <a:r>
            <a:rPr lang="en-US" sz="1100" b="1" baseline="0">
              <a:solidFill>
                <a:schemeClr val="tx1"/>
              </a:solidFill>
              <a:latin typeface="+mn-lt"/>
              <a:ea typeface="+mn-ea"/>
              <a:cs typeface="+mn-cs"/>
            </a:rPr>
            <a:t>Multi-role s</a:t>
          </a:r>
          <a:r>
            <a:rPr lang="en-US" sz="1100" b="1" baseline="0"/>
            <a:t>erver </a:t>
          </a:r>
          <a:r>
            <a:rPr lang="en-US" sz="1100" baseline="0"/>
            <a:t>- </a:t>
          </a:r>
          <a:r>
            <a:rPr lang="en-US" sz="1100" baseline="0">
              <a:solidFill>
                <a:schemeClr val="tx1"/>
              </a:solidFill>
              <a:latin typeface="+mn-lt"/>
              <a:ea typeface="+mn-ea"/>
              <a:cs typeface="+mn-cs"/>
            </a:rPr>
            <a:t>HP DL380G4, 2 Intel Xeon 3-GHz hyper-threaded processors, 10 GB RAM, connected to a HP SAN via Fibre </a:t>
          </a:r>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aseline="0"/>
            <a:t>	</a:t>
          </a:r>
          <a:r>
            <a:rPr lang="en-US" sz="1100" b="1" baseline="0">
              <a:solidFill>
                <a:schemeClr val="tx1"/>
              </a:solidFill>
              <a:latin typeface="+mn-lt"/>
              <a:ea typeface="+mn-ea"/>
              <a:cs typeface="+mn-cs"/>
            </a:rPr>
            <a:t>Mailbox servers </a:t>
          </a:r>
          <a:r>
            <a:rPr lang="en-US" sz="1100" baseline="0">
              <a:solidFill>
                <a:schemeClr val="tx1"/>
              </a:solidFill>
              <a:latin typeface="+mn-lt"/>
              <a:ea typeface="+mn-ea"/>
              <a:cs typeface="+mn-cs"/>
            </a:rPr>
            <a:t>- HP DL380G4, 2 Intel Xeon 3-GHz hyper-threaded processors, 8 GB RAM, connected to a HP SAN via Fibre </a:t>
          </a:r>
        </a:p>
        <a:p>
          <a:r>
            <a:rPr lang="en-US" sz="1100" baseline="0"/>
            <a:t>	</a:t>
          </a:r>
          <a:r>
            <a:rPr lang="en-US" sz="1100" b="1" baseline="0"/>
            <a:t>Domain Controller (DC), clients </a:t>
          </a:r>
          <a:r>
            <a:rPr lang="en-US" sz="1100" baseline="0"/>
            <a:t>- Hyper-V virtual machines running on a HP DL380G5 with </a:t>
          </a:r>
          <a:r>
            <a:rPr lang="en-US" sz="1100" baseline="0">
              <a:solidFill>
                <a:schemeClr val="tx1"/>
              </a:solidFill>
              <a:latin typeface="+mn-lt"/>
              <a:ea typeface="+mn-ea"/>
              <a:cs typeface="+mn-cs"/>
            </a:rPr>
            <a:t>2 Intel Xeon 3-GHz quad-core processors 	and 14 GB RAM</a:t>
          </a:r>
          <a:r>
            <a:rPr lang="en-US" sz="1100" baseline="0"/>
            <a:t>. Each virtual machine was allocated 100% of 1 processor core and 2 GB RAM. </a:t>
          </a:r>
        </a:p>
        <a:p>
          <a:endParaRPr lang="en-US" sz="1100" baseline="0"/>
        </a:p>
        <a:p>
          <a:endParaRPr lang="en-US" sz="1100" baseline="0"/>
        </a:p>
      </xdr:txBody>
    </xdr:sp>
    <xdr:clientData/>
  </xdr:oneCellAnchor>
  <xdr:twoCellAnchor editAs="oneCell">
    <xdr:from>
      <xdr:col>0</xdr:col>
      <xdr:colOff>76200</xdr:colOff>
      <xdr:row>0</xdr:row>
      <xdr:rowOff>180975</xdr:rowOff>
    </xdr:from>
    <xdr:to>
      <xdr:col>5</xdr:col>
      <xdr:colOff>428625</xdr:colOff>
      <xdr:row>4</xdr:row>
      <xdr:rowOff>180975</xdr:rowOff>
    </xdr:to>
    <xdr:pic>
      <xdr:nvPicPr>
        <xdr:cNvPr id="10" name="Picture 9" descr="FSE logo.gif"/>
        <xdr:cNvPicPr>
          <a:picLocks noChangeAspect="1"/>
        </xdr:cNvPicPr>
      </xdr:nvPicPr>
      <xdr:blipFill>
        <a:blip xmlns:r="http://schemas.openxmlformats.org/officeDocument/2006/relationships" r:embed="rId2"/>
        <a:stretch>
          <a:fillRect/>
        </a:stretch>
      </xdr:blipFill>
      <xdr:spPr>
        <a:xfrm>
          <a:off x="76200" y="180975"/>
          <a:ext cx="3400425"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342901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 y="0"/>
          <a:ext cx="8515350" cy="1219200"/>
        </a:xfrm>
        <a:prstGeom prst="rect">
          <a:avLst/>
        </a:prstGeom>
        <a:noFill/>
      </xdr:spPr>
    </xdr:pic>
    <xdr:clientData/>
  </xdr:twoCellAnchor>
  <xdr:oneCellAnchor>
    <xdr:from>
      <xdr:col>6</xdr:col>
      <xdr:colOff>209551</xdr:colOff>
      <xdr:row>2</xdr:row>
      <xdr:rowOff>19050</xdr:rowOff>
    </xdr:from>
    <xdr:ext cx="3200399" cy="468013"/>
    <xdr:sp macro="" textlink="">
      <xdr:nvSpPr>
        <xdr:cNvPr id="3" name="TextBox 2"/>
        <xdr:cNvSpPr txBox="1"/>
      </xdr:nvSpPr>
      <xdr:spPr>
        <a:xfrm>
          <a:off x="5334001" y="400050"/>
          <a:ext cx="3200399"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Capacity</a:t>
          </a:r>
          <a:r>
            <a:rPr lang="en-US" sz="2400" b="1" baseline="0"/>
            <a:t> Planning  Tool</a:t>
          </a:r>
        </a:p>
      </xdr:txBody>
    </xdr:sp>
    <xdr:clientData/>
  </xdr:oneCellAnchor>
  <xdr:twoCellAnchor editAs="oneCell">
    <xdr:from>
      <xdr:col>0</xdr:col>
      <xdr:colOff>76200</xdr:colOff>
      <xdr:row>0</xdr:row>
      <xdr:rowOff>180975</xdr:rowOff>
    </xdr:from>
    <xdr:to>
      <xdr:col>4</xdr:col>
      <xdr:colOff>285750</xdr:colOff>
      <xdr:row>4</xdr:row>
      <xdr:rowOff>180975</xdr:rowOff>
    </xdr:to>
    <xdr:pic>
      <xdr:nvPicPr>
        <xdr:cNvPr id="11" name="Picture 10" descr="FSE logo.gif"/>
        <xdr:cNvPicPr>
          <a:picLocks noChangeAspect="1"/>
        </xdr:cNvPicPr>
      </xdr:nvPicPr>
      <xdr:blipFill>
        <a:blip xmlns:r="http://schemas.openxmlformats.org/officeDocument/2006/relationships" r:embed="rId2"/>
        <a:stretch>
          <a:fillRect/>
        </a:stretch>
      </xdr:blipFill>
      <xdr:spPr>
        <a:xfrm>
          <a:off x="76200" y="180975"/>
          <a:ext cx="3400425" cy="762000"/>
        </a:xfrm>
        <a:prstGeom prst="rect">
          <a:avLst/>
        </a:prstGeom>
      </xdr:spPr>
    </xdr:pic>
    <xdr:clientData/>
  </xdr:twoCellAnchor>
  <xdr:oneCellAnchor>
    <xdr:from>
      <xdr:col>0</xdr:col>
      <xdr:colOff>133350</xdr:colOff>
      <xdr:row>5</xdr:row>
      <xdr:rowOff>133350</xdr:rowOff>
    </xdr:from>
    <xdr:ext cx="8601076" cy="1000402"/>
    <xdr:sp macro="" textlink="">
      <xdr:nvSpPr>
        <xdr:cNvPr id="8" name="TextBox 7"/>
        <xdr:cNvSpPr txBox="1"/>
      </xdr:nvSpPr>
      <xdr:spPr>
        <a:xfrm>
          <a:off x="133350" y="1085850"/>
          <a:ext cx="8601076" cy="100040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t>Step 1: Set Utilization Preferences</a:t>
          </a:r>
        </a:p>
        <a:p>
          <a:r>
            <a:rPr lang="en-US" sz="1100" b="0" baseline="0">
              <a:solidFill>
                <a:schemeClr val="tx1"/>
              </a:solidFill>
              <a:latin typeface="+mn-lt"/>
              <a:ea typeface="+mn-ea"/>
              <a:cs typeface="+mn-cs"/>
            </a:rPr>
            <a:t>Set utilization preferences in the fields below by entering your maximum target utilization rate. For example, if your target CPU utilization for a server is up to 75%, you would enter </a:t>
          </a:r>
          <a:r>
            <a:rPr lang="en-US" sz="1100" b="1" baseline="0">
              <a:solidFill>
                <a:schemeClr val="tx1"/>
              </a:solidFill>
              <a:latin typeface="+mn-lt"/>
              <a:ea typeface="+mn-ea"/>
              <a:cs typeface="+mn-cs"/>
            </a:rPr>
            <a:t>75% </a:t>
          </a:r>
          <a:r>
            <a:rPr lang="en-US" sz="1100" b="0" baseline="0">
              <a:solidFill>
                <a:schemeClr val="tx1"/>
              </a:solidFill>
              <a:latin typeface="+mn-lt"/>
              <a:ea typeface="+mn-ea"/>
              <a:cs typeface="+mn-cs"/>
            </a:rPr>
            <a:t>in the </a:t>
          </a:r>
          <a:r>
            <a:rPr lang="en-US" sz="1100" b="1" baseline="0">
              <a:solidFill>
                <a:schemeClr val="tx1"/>
              </a:solidFill>
              <a:latin typeface="+mn-lt"/>
              <a:ea typeface="+mn-ea"/>
              <a:cs typeface="+mn-cs"/>
            </a:rPr>
            <a:t>All Servers Target CPU utilization</a:t>
          </a:r>
          <a:r>
            <a:rPr lang="en-US" sz="1100" b="0" baseline="0">
              <a:solidFill>
                <a:schemeClr val="tx1"/>
              </a:solidFill>
              <a:latin typeface="+mn-lt"/>
              <a:ea typeface="+mn-ea"/>
              <a:cs typeface="+mn-cs"/>
            </a:rPr>
            <a:t> field below. These values may come from corporate IT policies or best practices you choose to follow. If you have different utilization standards for different server roles, you can modify server values individually in the fields below. The default targets for both CPU and memory are 75%.</a:t>
          </a:r>
        </a:p>
      </xdr:txBody>
    </xdr:sp>
    <xdr:clientData/>
  </xdr:oneCellAnchor>
  <xdr:oneCellAnchor>
    <xdr:from>
      <xdr:col>6</xdr:col>
      <xdr:colOff>485775</xdr:colOff>
      <xdr:row>21</xdr:row>
      <xdr:rowOff>161925</xdr:rowOff>
    </xdr:from>
    <xdr:ext cx="2828925" cy="609013"/>
    <xdr:sp macro="" textlink="">
      <xdr:nvSpPr>
        <xdr:cNvPr id="9" name="TextBox 8"/>
        <xdr:cNvSpPr txBox="1"/>
      </xdr:nvSpPr>
      <xdr:spPr>
        <a:xfrm>
          <a:off x="5610225" y="4162425"/>
          <a:ext cx="2828925" cy="609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NOTE</a:t>
          </a:r>
          <a:r>
            <a:rPr lang="en-US" sz="1100"/>
            <a:t>: A multi-role server is used with the Standard Reference Architecture (SRA) and combines the hub and mailbox server roles.</a:t>
          </a:r>
        </a:p>
      </xdr:txBody>
    </xdr:sp>
    <xdr:clientData/>
  </xdr:oneCellAnchor>
  <xdr:twoCellAnchor>
    <xdr:from>
      <xdr:col>6</xdr:col>
      <xdr:colOff>579120</xdr:colOff>
      <xdr:row>25</xdr:row>
      <xdr:rowOff>68580</xdr:rowOff>
    </xdr:from>
    <xdr:to>
      <xdr:col>10</xdr:col>
      <xdr:colOff>310515</xdr:colOff>
      <xdr:row>28</xdr:row>
      <xdr:rowOff>116205</xdr:rowOff>
    </xdr:to>
    <xdr:sp macro="" textlink="">
      <xdr:nvSpPr>
        <xdr:cNvPr id="14" name="Flowchart: Process 13">
          <a:hlinkClick xmlns:r="http://schemas.openxmlformats.org/officeDocument/2006/relationships" r:id="rId3"/>
        </xdr:cNvPr>
        <xdr:cNvSpPr/>
      </xdr:nvSpPr>
      <xdr:spPr>
        <a:xfrm>
          <a:off x="5844540" y="4640580"/>
          <a:ext cx="2230755" cy="596265"/>
        </a:xfrm>
        <a:prstGeom prst="flowChartProcess">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Go to Next Step:</a:t>
          </a:r>
          <a:r>
            <a:rPr lang="en-US" sz="1100" b="1" baseline="0"/>
            <a:t> </a:t>
          </a:r>
        </a:p>
        <a:p>
          <a:pPr algn="ctr"/>
          <a:r>
            <a:rPr lang="en-US" sz="1100" b="1" baseline="0"/>
            <a:t>Choose Your Scenario</a:t>
          </a:r>
          <a:endParaRPr lang="en-US" sz="1100" b="1"/>
        </a:p>
      </xdr:txBody>
    </xdr:sp>
    <xdr:clientData/>
  </xdr:twoCellAnchor>
  <xdr:twoCellAnchor>
    <xdr:from>
      <xdr:col>7</xdr:col>
      <xdr:colOff>22860</xdr:colOff>
      <xdr:row>11</xdr:row>
      <xdr:rowOff>167640</xdr:rowOff>
    </xdr:from>
    <xdr:to>
      <xdr:col>10</xdr:col>
      <xdr:colOff>299508</xdr:colOff>
      <xdr:row>14</xdr:row>
      <xdr:rowOff>32926</xdr:rowOff>
    </xdr:to>
    <xdr:grpSp>
      <xdr:nvGrpSpPr>
        <xdr:cNvPr id="18" name="Group 17"/>
        <xdr:cNvGrpSpPr/>
      </xdr:nvGrpSpPr>
      <xdr:grpSpPr>
        <a:xfrm>
          <a:off x="5756910" y="2263140"/>
          <a:ext cx="2105448" cy="436786"/>
          <a:chOff x="438150" y="4962525"/>
          <a:chExt cx="2085979" cy="436786"/>
        </a:xfrm>
      </xdr:grpSpPr>
      <xdr:sp macro="" textlink="">
        <xdr:nvSpPr>
          <xdr:cNvPr id="19" name="TextBox 18"/>
          <xdr:cNvSpPr txBox="1"/>
        </xdr:nvSpPr>
        <xdr:spPr>
          <a:xfrm>
            <a:off x="438150" y="4962525"/>
            <a:ext cx="2085979"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Required	Optional	</a:t>
            </a:r>
          </a:p>
        </xdr:txBody>
      </xdr:sp>
      <xdr:grpSp>
        <xdr:nvGrpSpPr>
          <xdr:cNvPr id="20" name="Group 15"/>
          <xdr:cNvGrpSpPr/>
        </xdr:nvGrpSpPr>
        <xdr:grpSpPr>
          <a:xfrm>
            <a:off x="1123950" y="5200650"/>
            <a:ext cx="1181100" cy="133350"/>
            <a:chOff x="1123950" y="5200650"/>
            <a:chExt cx="1181100" cy="133350"/>
          </a:xfrm>
        </xdr:grpSpPr>
        <xdr:sp macro="" textlink="">
          <xdr:nvSpPr>
            <xdr:cNvPr id="21" name="Rectangle 20"/>
            <xdr:cNvSpPr/>
          </xdr:nvSpPr>
          <xdr:spPr>
            <a:xfrm>
              <a:off x="1123950" y="5200650"/>
              <a:ext cx="285750" cy="133350"/>
            </a:xfrm>
            <a:prstGeom prst="rect">
              <a:avLst/>
            </a:prstGeom>
            <a:ln w="6350"/>
          </xdr:spPr>
          <xdr:style>
            <a:lnRef idx="2">
              <a:schemeClr val="accent2"/>
            </a:lnRef>
            <a:fillRef idx="1">
              <a:schemeClr val="lt1"/>
            </a:fillRef>
            <a:effectRef idx="0">
              <a:schemeClr val="accent2"/>
            </a:effectRef>
            <a:fontRef idx="minor">
              <a:schemeClr val="dk1"/>
            </a:fontRef>
          </xdr:style>
          <xdr:txBody>
            <a:bodyPr rtlCol="0" anchor="ctr"/>
            <a:lstStyle/>
            <a:p>
              <a:pPr algn="ctr"/>
              <a:endParaRPr lang="en-US" sz="1100"/>
            </a:p>
          </xdr:txBody>
        </xdr:sp>
        <xdr:sp macro="" textlink="">
          <xdr:nvSpPr>
            <xdr:cNvPr id="22" name="Rectangle 21"/>
            <xdr:cNvSpPr/>
          </xdr:nvSpPr>
          <xdr:spPr>
            <a:xfrm>
              <a:off x="2019300" y="5200650"/>
              <a:ext cx="285750" cy="133350"/>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590551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 y="0"/>
          <a:ext cx="8515350" cy="1219200"/>
        </a:xfrm>
        <a:prstGeom prst="rect">
          <a:avLst/>
        </a:prstGeom>
        <a:noFill/>
      </xdr:spPr>
    </xdr:pic>
    <xdr:clientData/>
  </xdr:twoCellAnchor>
  <xdr:oneCellAnchor>
    <xdr:from>
      <xdr:col>8</xdr:col>
      <xdr:colOff>438151</xdr:colOff>
      <xdr:row>2</xdr:row>
      <xdr:rowOff>19050</xdr:rowOff>
    </xdr:from>
    <xdr:ext cx="3200399" cy="468013"/>
    <xdr:sp macro="" textlink="">
      <xdr:nvSpPr>
        <xdr:cNvPr id="3" name="TextBox 2"/>
        <xdr:cNvSpPr txBox="1"/>
      </xdr:nvSpPr>
      <xdr:spPr>
        <a:xfrm>
          <a:off x="5314951" y="400050"/>
          <a:ext cx="3200399"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Capacity</a:t>
          </a:r>
          <a:r>
            <a:rPr lang="en-US" sz="2400" b="1" baseline="0"/>
            <a:t> Planning  Tool</a:t>
          </a:r>
        </a:p>
      </xdr:txBody>
    </xdr:sp>
    <xdr:clientData/>
  </xdr:oneCellAnchor>
  <xdr:oneCellAnchor>
    <xdr:from>
      <xdr:col>0</xdr:col>
      <xdr:colOff>133350</xdr:colOff>
      <xdr:row>5</xdr:row>
      <xdr:rowOff>133350</xdr:rowOff>
    </xdr:from>
    <xdr:ext cx="8601076" cy="2722668"/>
    <xdr:sp macro="" textlink="">
      <xdr:nvSpPr>
        <xdr:cNvPr id="4" name="TextBox 3"/>
        <xdr:cNvSpPr txBox="1"/>
      </xdr:nvSpPr>
      <xdr:spPr>
        <a:xfrm>
          <a:off x="133350" y="1047750"/>
          <a:ext cx="8601076" cy="272266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t>Step 2: Choose Scenario and Reference</a:t>
          </a:r>
          <a:r>
            <a:rPr lang="en-US" sz="1400" b="1" baseline="0"/>
            <a:t> Architecture</a:t>
          </a:r>
          <a:endParaRPr lang="en-US" sz="1400" baseline="0">
            <a:solidFill>
              <a:schemeClr val="tx1"/>
            </a:solidFill>
            <a:latin typeface="+mn-lt"/>
            <a:ea typeface="+mn-ea"/>
            <a:cs typeface="+mn-cs"/>
          </a:endParaRPr>
        </a:p>
        <a:p>
          <a:endParaRPr lang="en-US" b="1"/>
        </a:p>
        <a:p>
          <a:r>
            <a:rPr lang="en-US" sz="1100" baseline="0">
              <a:solidFill>
                <a:schemeClr val="tx1"/>
              </a:solidFill>
              <a:latin typeface="+mn-lt"/>
              <a:ea typeface="+mn-ea"/>
              <a:cs typeface="+mn-cs"/>
            </a:rPr>
            <a:t>There are two reference architectures prescribed for Microsoft Forefront Security for Exchange Server: Standard and Enterprise. They are depicted at the bottom of this page for your reference. </a:t>
          </a:r>
        </a:p>
        <a:p>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The buttons below correspond to the scenario and reference architecture combinations supported by this tool. Identify the one that best describes the environment you want to plan. Your selection takes you to a series of pages that gather information pertaining specifically to the scenario and then estimate utilization and provide estimated hardware recommendations.</a:t>
          </a:r>
          <a:endParaRPr lang="en-US"/>
        </a:p>
        <a:p>
          <a:pPr fontAlgn="base"/>
          <a:endParaRPr lang="en-US" sz="1100" b="1" baseline="0">
            <a:solidFill>
              <a:schemeClr val="tx1"/>
            </a:solidFill>
            <a:latin typeface="+mn-lt"/>
            <a:ea typeface="+mn-ea"/>
            <a:cs typeface="+mn-cs"/>
          </a:endParaRPr>
        </a:p>
        <a:p>
          <a:r>
            <a:rPr lang="en-US" sz="1100" b="0" baseline="0">
              <a:solidFill>
                <a:schemeClr val="tx1"/>
              </a:solidFill>
              <a:latin typeface="+mn-lt"/>
              <a:ea typeface="+mn-ea"/>
              <a:cs typeface="+mn-cs"/>
            </a:rPr>
            <a:t>Click the appropriate reference architecture button in the blue </a:t>
          </a:r>
          <a:r>
            <a:rPr lang="en-US" sz="1100" b="1" baseline="0">
              <a:solidFill>
                <a:schemeClr val="tx1"/>
              </a:solidFill>
              <a:latin typeface="+mn-lt"/>
              <a:ea typeface="+mn-ea"/>
              <a:cs typeface="+mn-cs"/>
            </a:rPr>
            <a:t>New Exchange Deployment or Exchange Migration </a:t>
          </a:r>
          <a:r>
            <a:rPr lang="en-US" sz="1100" b="0" baseline="0">
              <a:solidFill>
                <a:schemeClr val="tx1"/>
              </a:solidFill>
              <a:latin typeface="+mn-lt"/>
              <a:ea typeface="+mn-ea"/>
              <a:cs typeface="+mn-cs"/>
            </a:rPr>
            <a:t>box if there is no existing Microsoft Exchange environment or you are deploying a new version of Microsoft Exchange Server on new hardware.</a:t>
          </a:r>
          <a:endParaRPr lang="en-US"/>
        </a:p>
        <a:p>
          <a:pPr fontAlgn="base"/>
          <a:endParaRPr lang="en-US" sz="1100" baseline="0">
            <a:solidFill>
              <a:schemeClr val="tx1"/>
            </a:solidFill>
            <a:latin typeface="+mn-lt"/>
            <a:ea typeface="+mn-ea"/>
            <a:cs typeface="+mn-cs"/>
          </a:endParaRPr>
        </a:p>
        <a:p>
          <a:r>
            <a:rPr lang="en-US" sz="1100" baseline="0">
              <a:solidFill>
                <a:schemeClr val="tx1"/>
              </a:solidFill>
              <a:latin typeface="+mn-lt"/>
              <a:ea typeface="+mn-ea"/>
              <a:cs typeface="+mn-cs"/>
            </a:rPr>
            <a:t>Click the </a:t>
          </a:r>
          <a:r>
            <a:rPr lang="en-US" sz="1100" b="0" baseline="0">
              <a:solidFill>
                <a:schemeClr val="tx1"/>
              </a:solidFill>
              <a:latin typeface="+mn-lt"/>
              <a:ea typeface="+mn-ea"/>
              <a:cs typeface="+mn-cs"/>
            </a:rPr>
            <a:t>appropriate reference architecture button in the </a:t>
          </a:r>
          <a:r>
            <a:rPr lang="en-US" sz="1100" baseline="0">
              <a:solidFill>
                <a:schemeClr val="tx1"/>
              </a:solidFill>
              <a:latin typeface="+mn-lt"/>
              <a:ea typeface="+mn-ea"/>
              <a:cs typeface="+mn-cs"/>
            </a:rPr>
            <a:t>orange </a:t>
          </a:r>
          <a:r>
            <a:rPr lang="en-US" sz="1100" b="1" baseline="0">
              <a:solidFill>
                <a:schemeClr val="tx1"/>
              </a:solidFill>
              <a:latin typeface="+mn-lt"/>
              <a:ea typeface="+mn-ea"/>
              <a:cs typeface="+mn-cs"/>
            </a:rPr>
            <a:t>Existing Exchange Environment </a:t>
          </a:r>
          <a:r>
            <a:rPr lang="en-US" sz="1100" b="0" baseline="0">
              <a:solidFill>
                <a:schemeClr val="tx1"/>
              </a:solidFill>
              <a:latin typeface="+mn-lt"/>
              <a:ea typeface="+mn-ea"/>
              <a:cs typeface="+mn-cs"/>
            </a:rPr>
            <a:t>box </a:t>
          </a:r>
          <a:r>
            <a:rPr lang="en-US" sz="1100" baseline="0">
              <a:solidFill>
                <a:schemeClr val="tx1"/>
              </a:solidFill>
              <a:latin typeface="+mn-lt"/>
              <a:ea typeface="+mn-ea"/>
              <a:cs typeface="+mn-cs"/>
            </a:rPr>
            <a:t>if you are adding Forefront Security for Exchange Server to an existing Exchange environment.</a:t>
          </a:r>
          <a:endParaRPr lang="en-US" sz="1100"/>
        </a:p>
        <a:p>
          <a:r>
            <a:rPr lang="en-US" sz="1100"/>
            <a:t>	</a:t>
          </a:r>
          <a:r>
            <a:rPr lang="en-US" sz="1100" baseline="0"/>
            <a:t>			</a:t>
          </a:r>
          <a:endParaRPr lang="en-US" sz="1100"/>
        </a:p>
      </xdr:txBody>
    </xdr:sp>
    <xdr:clientData/>
  </xdr:oneCellAnchor>
  <xdr:twoCellAnchor editAs="oneCell">
    <xdr:from>
      <xdr:col>0</xdr:col>
      <xdr:colOff>76200</xdr:colOff>
      <xdr:row>0</xdr:row>
      <xdr:rowOff>180975</xdr:rowOff>
    </xdr:from>
    <xdr:to>
      <xdr:col>5</xdr:col>
      <xdr:colOff>428625</xdr:colOff>
      <xdr:row>4</xdr:row>
      <xdr:rowOff>180975</xdr:rowOff>
    </xdr:to>
    <xdr:pic>
      <xdr:nvPicPr>
        <xdr:cNvPr id="11" name="Picture 10" descr="FSE logo.gif"/>
        <xdr:cNvPicPr>
          <a:picLocks noChangeAspect="1"/>
        </xdr:cNvPicPr>
      </xdr:nvPicPr>
      <xdr:blipFill>
        <a:blip xmlns:r="http://schemas.openxmlformats.org/officeDocument/2006/relationships" r:embed="rId2"/>
        <a:stretch>
          <a:fillRect/>
        </a:stretch>
      </xdr:blipFill>
      <xdr:spPr>
        <a:xfrm>
          <a:off x="76200" y="180975"/>
          <a:ext cx="3400425" cy="762000"/>
        </a:xfrm>
        <a:prstGeom prst="rect">
          <a:avLst/>
        </a:prstGeom>
      </xdr:spPr>
    </xdr:pic>
    <xdr:clientData/>
  </xdr:twoCellAnchor>
  <xdr:oneCellAnchor>
    <xdr:from>
      <xdr:col>10</xdr:col>
      <xdr:colOff>57150</xdr:colOff>
      <xdr:row>34</xdr:row>
      <xdr:rowOff>17145</xdr:rowOff>
    </xdr:from>
    <xdr:ext cx="2173928" cy="264560"/>
    <xdr:sp macro="" textlink="">
      <xdr:nvSpPr>
        <xdr:cNvPr id="15" name="TextBox 14"/>
        <xdr:cNvSpPr txBox="1"/>
      </xdr:nvSpPr>
      <xdr:spPr>
        <a:xfrm>
          <a:off x="6305550" y="6235065"/>
          <a:ext cx="217392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1" baseline="0">
              <a:solidFill>
                <a:schemeClr val="tx1"/>
              </a:solidFill>
              <a:latin typeface="+mn-lt"/>
              <a:ea typeface="+mn-ea"/>
              <a:cs typeface="+mn-cs"/>
            </a:rPr>
            <a:t>Enterprise Reference Architecture</a:t>
          </a:r>
          <a:endParaRPr lang="en-US" sz="1100" b="1"/>
        </a:p>
      </xdr:txBody>
    </xdr:sp>
    <xdr:clientData/>
  </xdr:oneCellAnchor>
  <xdr:oneCellAnchor>
    <xdr:from>
      <xdr:col>2</xdr:col>
      <xdr:colOff>266700</xdr:colOff>
      <xdr:row>34</xdr:row>
      <xdr:rowOff>36195</xdr:rowOff>
    </xdr:from>
    <xdr:ext cx="2137316" cy="264560"/>
    <xdr:sp macro="" textlink="">
      <xdr:nvSpPr>
        <xdr:cNvPr id="16" name="TextBox 15"/>
        <xdr:cNvSpPr txBox="1"/>
      </xdr:nvSpPr>
      <xdr:spPr>
        <a:xfrm>
          <a:off x="1516380" y="6254115"/>
          <a:ext cx="213731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1">
              <a:solidFill>
                <a:schemeClr val="tx1"/>
              </a:solidFill>
              <a:latin typeface="+mn-lt"/>
              <a:ea typeface="+mn-ea"/>
              <a:cs typeface="+mn-cs"/>
            </a:rPr>
            <a:t>Standard</a:t>
          </a:r>
          <a:r>
            <a:rPr lang="en-US" sz="1100" b="1" baseline="0">
              <a:solidFill>
                <a:schemeClr val="tx1"/>
              </a:solidFill>
              <a:latin typeface="+mn-lt"/>
              <a:ea typeface="+mn-ea"/>
              <a:cs typeface="+mn-cs"/>
            </a:rPr>
            <a:t> Reference Architecture</a:t>
          </a:r>
          <a:endParaRPr lang="en-US" sz="1100" b="1"/>
        </a:p>
      </xdr:txBody>
    </xdr:sp>
    <xdr:clientData/>
  </xdr:oneCellAnchor>
  <xdr:twoCellAnchor>
    <xdr:from>
      <xdr:col>0</xdr:col>
      <xdr:colOff>198120</xdr:colOff>
      <xdr:row>21</xdr:row>
      <xdr:rowOff>55244</xdr:rowOff>
    </xdr:from>
    <xdr:to>
      <xdr:col>7</xdr:col>
      <xdr:colOff>342900</xdr:colOff>
      <xdr:row>29</xdr:row>
      <xdr:rowOff>99059</xdr:rowOff>
    </xdr:to>
    <xdr:sp macro="" textlink="">
      <xdr:nvSpPr>
        <xdr:cNvPr id="10" name="Flowchart: Process 9"/>
        <xdr:cNvSpPr/>
      </xdr:nvSpPr>
      <xdr:spPr>
        <a:xfrm>
          <a:off x="198120" y="3895724"/>
          <a:ext cx="4518660" cy="1506855"/>
        </a:xfrm>
        <a:prstGeom prst="flowChartProcess">
          <a:avLst/>
        </a:prstGeom>
      </xdr:spPr>
      <xdr:style>
        <a:lnRef idx="0">
          <a:schemeClr val="accent1"/>
        </a:lnRef>
        <a:fillRef idx="3">
          <a:schemeClr val="accent1"/>
        </a:fillRef>
        <a:effectRef idx="3">
          <a:schemeClr val="accent1"/>
        </a:effectRef>
        <a:fontRef idx="minor">
          <a:schemeClr val="lt1"/>
        </a:fontRef>
      </xdr:style>
      <xdr:txBody>
        <a:bodyPr tIns="91440" rtlCol="0" anchor="t"/>
        <a:lstStyle/>
        <a:p>
          <a:pPr algn="ctr"/>
          <a:r>
            <a:rPr lang="en-US" sz="1100" b="1"/>
            <a:t>New Exchange Deployment or </a:t>
          </a:r>
        </a:p>
        <a:p>
          <a:pPr algn="ctr"/>
          <a:r>
            <a:rPr lang="en-US" sz="1100" b="1"/>
            <a:t>Exchange Migration</a:t>
          </a:r>
        </a:p>
      </xdr:txBody>
    </xdr:sp>
    <xdr:clientData/>
  </xdr:twoCellAnchor>
  <xdr:twoCellAnchor>
    <xdr:from>
      <xdr:col>8</xdr:col>
      <xdr:colOff>51434</xdr:colOff>
      <xdr:row>21</xdr:row>
      <xdr:rowOff>38100</xdr:rowOff>
    </xdr:from>
    <xdr:to>
      <xdr:col>15</xdr:col>
      <xdr:colOff>198119</xdr:colOff>
      <xdr:row>29</xdr:row>
      <xdr:rowOff>89368</xdr:rowOff>
    </xdr:to>
    <xdr:sp macro="" textlink="">
      <xdr:nvSpPr>
        <xdr:cNvPr id="18" name="Flowchart: Process 17"/>
        <xdr:cNvSpPr/>
      </xdr:nvSpPr>
      <xdr:spPr>
        <a:xfrm>
          <a:off x="5050154" y="3878580"/>
          <a:ext cx="4520565" cy="1514308"/>
        </a:xfrm>
        <a:prstGeom prst="flowChartProcess">
          <a:avLst/>
        </a:prstGeom>
      </xdr:spPr>
      <xdr:style>
        <a:lnRef idx="0">
          <a:schemeClr val="accent6"/>
        </a:lnRef>
        <a:fillRef idx="3">
          <a:schemeClr val="accent6"/>
        </a:fillRef>
        <a:effectRef idx="3">
          <a:schemeClr val="accent6"/>
        </a:effectRef>
        <a:fontRef idx="minor">
          <a:schemeClr val="lt1"/>
        </a:fontRef>
      </xdr:style>
      <xdr:txBody>
        <a:bodyPr tIns="91440" rtlCol="0" anchor="t"/>
        <a:lstStyle/>
        <a:p>
          <a:pPr algn="ctr"/>
          <a:r>
            <a:rPr lang="en-US" sz="1100" b="1"/>
            <a:t>Existing</a:t>
          </a:r>
          <a:r>
            <a:rPr lang="en-US" sz="1100" b="1" baseline="0"/>
            <a:t> Exchange Environment</a:t>
          </a:r>
          <a:endParaRPr lang="en-US" sz="1100" b="1"/>
        </a:p>
      </xdr:txBody>
    </xdr:sp>
    <xdr:clientData/>
  </xdr:twoCellAnchor>
  <xdr:twoCellAnchor>
    <xdr:from>
      <xdr:col>8</xdr:col>
      <xdr:colOff>190500</xdr:colOff>
      <xdr:row>24</xdr:row>
      <xdr:rowOff>177165</xdr:rowOff>
    </xdr:from>
    <xdr:to>
      <xdr:col>11</xdr:col>
      <xdr:colOff>264795</xdr:colOff>
      <xdr:row>28</xdr:row>
      <xdr:rowOff>41910</xdr:rowOff>
    </xdr:to>
    <xdr:sp macro="" textlink="">
      <xdr:nvSpPr>
        <xdr:cNvPr id="19" name="Flowchart: Process 18">
          <a:hlinkClick xmlns:r="http://schemas.openxmlformats.org/officeDocument/2006/relationships" r:id="rId3"/>
        </xdr:cNvPr>
        <xdr:cNvSpPr/>
      </xdr:nvSpPr>
      <xdr:spPr>
        <a:xfrm>
          <a:off x="5189220" y="4566285"/>
          <a:ext cx="1948815" cy="596265"/>
        </a:xfrm>
        <a:prstGeom prst="flowChartProcess">
          <a:avLst/>
        </a:prstGeom>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Standard</a:t>
          </a:r>
          <a:r>
            <a:rPr lang="en-US" sz="1100" b="1" baseline="0"/>
            <a:t> Reference Architecture</a:t>
          </a:r>
        </a:p>
        <a:p>
          <a:pPr algn="ctr"/>
          <a:r>
            <a:rPr lang="en-US" sz="1100" b="1" baseline="0"/>
            <a:t>Capacity Planning</a:t>
          </a:r>
          <a:endParaRPr lang="en-US" sz="1100" b="1"/>
        </a:p>
      </xdr:txBody>
    </xdr:sp>
    <xdr:clientData/>
  </xdr:twoCellAnchor>
  <xdr:twoCellAnchor>
    <xdr:from>
      <xdr:col>11</xdr:col>
      <xdr:colOff>609598</xdr:colOff>
      <xdr:row>24</xdr:row>
      <xdr:rowOff>177165</xdr:rowOff>
    </xdr:from>
    <xdr:to>
      <xdr:col>15</xdr:col>
      <xdr:colOff>72390</xdr:colOff>
      <xdr:row>28</xdr:row>
      <xdr:rowOff>41910</xdr:rowOff>
    </xdr:to>
    <xdr:sp macro="" textlink="">
      <xdr:nvSpPr>
        <xdr:cNvPr id="20" name="Flowchart: Process 19">
          <a:hlinkClick xmlns:r="http://schemas.openxmlformats.org/officeDocument/2006/relationships" r:id="rId4"/>
        </xdr:cNvPr>
        <xdr:cNvSpPr/>
      </xdr:nvSpPr>
      <xdr:spPr>
        <a:xfrm>
          <a:off x="7482838" y="4566285"/>
          <a:ext cx="1962152" cy="596265"/>
        </a:xfrm>
        <a:prstGeom prst="flowChartProcess">
          <a:avLst/>
        </a:prstGeom>
      </xdr:spPr>
      <xdr:style>
        <a:lnRef idx="0">
          <a:schemeClr val="accent4"/>
        </a:lnRef>
        <a:fillRef idx="3">
          <a:schemeClr val="accent4"/>
        </a:fillRef>
        <a:effectRef idx="3">
          <a:schemeClr val="accent4"/>
        </a:effectRef>
        <a:fontRef idx="minor">
          <a:schemeClr val="lt1"/>
        </a:fontRef>
      </xdr:style>
      <xdr:txBody>
        <a:bodyPr rtlCol="0" anchor="ctr"/>
        <a:lstStyle/>
        <a:p>
          <a:pPr algn="ctr"/>
          <a:r>
            <a:rPr lang="en-US" sz="1100" b="1"/>
            <a:t>Enterprise Reference Architecture</a:t>
          </a:r>
        </a:p>
        <a:p>
          <a:pPr algn="ctr"/>
          <a:r>
            <a:rPr lang="en-US" sz="1100" b="1"/>
            <a:t>Capacity Planning</a:t>
          </a:r>
        </a:p>
      </xdr:txBody>
    </xdr:sp>
    <xdr:clientData/>
  </xdr:twoCellAnchor>
  <xdr:twoCellAnchor>
    <xdr:from>
      <xdr:col>0</xdr:col>
      <xdr:colOff>320040</xdr:colOff>
      <xdr:row>24</xdr:row>
      <xdr:rowOff>169545</xdr:rowOff>
    </xdr:from>
    <xdr:to>
      <xdr:col>3</xdr:col>
      <xdr:colOff>394335</xdr:colOff>
      <xdr:row>28</xdr:row>
      <xdr:rowOff>34290</xdr:rowOff>
    </xdr:to>
    <xdr:sp macro="" textlink="">
      <xdr:nvSpPr>
        <xdr:cNvPr id="21" name="Flowchart: Process 20">
          <a:hlinkClick xmlns:r="http://schemas.openxmlformats.org/officeDocument/2006/relationships" r:id="rId5"/>
        </xdr:cNvPr>
        <xdr:cNvSpPr/>
      </xdr:nvSpPr>
      <xdr:spPr>
        <a:xfrm>
          <a:off x="320040" y="4558665"/>
          <a:ext cx="1948815" cy="596265"/>
        </a:xfrm>
        <a:prstGeom prst="flowChartProcess">
          <a:avLst/>
        </a:prstGeom>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Standard</a:t>
          </a:r>
          <a:r>
            <a:rPr lang="en-US" sz="1100" b="1" baseline="0"/>
            <a:t> Reference Architecture</a:t>
          </a:r>
        </a:p>
        <a:p>
          <a:pPr algn="ctr"/>
          <a:r>
            <a:rPr lang="en-US" sz="1100" b="1" baseline="0"/>
            <a:t>Capacity Planning</a:t>
          </a:r>
          <a:endParaRPr lang="en-US" sz="1100" b="1"/>
        </a:p>
      </xdr:txBody>
    </xdr:sp>
    <xdr:clientData/>
  </xdr:twoCellAnchor>
  <xdr:twoCellAnchor>
    <xdr:from>
      <xdr:col>4</xdr:col>
      <xdr:colOff>114298</xdr:colOff>
      <xdr:row>24</xdr:row>
      <xdr:rowOff>169545</xdr:rowOff>
    </xdr:from>
    <xdr:to>
      <xdr:col>7</xdr:col>
      <xdr:colOff>201930</xdr:colOff>
      <xdr:row>28</xdr:row>
      <xdr:rowOff>34290</xdr:rowOff>
    </xdr:to>
    <xdr:sp macro="" textlink="">
      <xdr:nvSpPr>
        <xdr:cNvPr id="22" name="Flowchart: Process 21">
          <a:hlinkClick xmlns:r="http://schemas.openxmlformats.org/officeDocument/2006/relationships" r:id="rId6"/>
        </xdr:cNvPr>
        <xdr:cNvSpPr/>
      </xdr:nvSpPr>
      <xdr:spPr>
        <a:xfrm>
          <a:off x="2613658" y="4558665"/>
          <a:ext cx="1962152" cy="596265"/>
        </a:xfrm>
        <a:prstGeom prst="flowChartProcess">
          <a:avLst/>
        </a:prstGeom>
      </xdr:spPr>
      <xdr:style>
        <a:lnRef idx="0">
          <a:schemeClr val="accent4"/>
        </a:lnRef>
        <a:fillRef idx="3">
          <a:schemeClr val="accent4"/>
        </a:fillRef>
        <a:effectRef idx="3">
          <a:schemeClr val="accent4"/>
        </a:effectRef>
        <a:fontRef idx="minor">
          <a:schemeClr val="lt1"/>
        </a:fontRef>
      </xdr:style>
      <xdr:txBody>
        <a:bodyPr rtlCol="0" anchor="ctr"/>
        <a:lstStyle/>
        <a:p>
          <a:pPr algn="ctr"/>
          <a:r>
            <a:rPr lang="en-US" sz="1100" b="1"/>
            <a:t>Enterprise Reference Architecture</a:t>
          </a:r>
        </a:p>
        <a:p>
          <a:pPr algn="ctr"/>
          <a:r>
            <a:rPr lang="en-US" sz="1100" b="1"/>
            <a:t>Capacity Planning</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527684</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7787639" cy="1173480"/>
        </a:xfrm>
        <a:prstGeom prst="rect">
          <a:avLst/>
        </a:prstGeom>
        <a:noFill/>
      </xdr:spPr>
    </xdr:pic>
    <xdr:clientData/>
  </xdr:twoCellAnchor>
  <xdr:twoCellAnchor editAs="oneCell">
    <xdr:from>
      <xdr:col>0</xdr:col>
      <xdr:colOff>66675</xdr:colOff>
      <xdr:row>0</xdr:row>
      <xdr:rowOff>180975</xdr:rowOff>
    </xdr:from>
    <xdr:to>
      <xdr:col>5</xdr:col>
      <xdr:colOff>514350</xdr:colOff>
      <xdr:row>4</xdr:row>
      <xdr:rowOff>180975</xdr:rowOff>
    </xdr:to>
    <xdr:pic>
      <xdr:nvPicPr>
        <xdr:cNvPr id="9" name="Picture 8" descr="FSE logo.gif"/>
        <xdr:cNvPicPr>
          <a:picLocks noChangeAspect="1"/>
        </xdr:cNvPicPr>
      </xdr:nvPicPr>
      <xdr:blipFill>
        <a:blip xmlns:r="http://schemas.openxmlformats.org/officeDocument/2006/relationships" r:embed="rId2"/>
        <a:stretch>
          <a:fillRect/>
        </a:stretch>
      </xdr:blipFill>
      <xdr:spPr>
        <a:xfrm>
          <a:off x="66675" y="180975"/>
          <a:ext cx="3571875" cy="762000"/>
        </a:xfrm>
        <a:prstGeom prst="rect">
          <a:avLst/>
        </a:prstGeom>
      </xdr:spPr>
    </xdr:pic>
    <xdr:clientData/>
  </xdr:twoCellAnchor>
  <xdr:oneCellAnchor>
    <xdr:from>
      <xdr:col>1</xdr:col>
      <xdr:colOff>352425</xdr:colOff>
      <xdr:row>7</xdr:row>
      <xdr:rowOff>133350</xdr:rowOff>
    </xdr:from>
    <xdr:ext cx="6934200" cy="468013"/>
    <xdr:sp macro="" textlink="">
      <xdr:nvSpPr>
        <xdr:cNvPr id="10" name="TextBox 9"/>
        <xdr:cNvSpPr txBox="1"/>
      </xdr:nvSpPr>
      <xdr:spPr>
        <a:xfrm>
          <a:off x="704850" y="1466850"/>
          <a:ext cx="6934200"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Standard</a:t>
          </a:r>
          <a:r>
            <a:rPr lang="en-US" sz="2400" b="1" baseline="0"/>
            <a:t> </a:t>
          </a:r>
          <a:r>
            <a:rPr lang="en-US" sz="2400" b="1"/>
            <a:t>Reference Architecture </a:t>
          </a:r>
          <a:endParaRPr lang="en-US" sz="2400" b="1" baseline="0"/>
        </a:p>
      </xdr:txBody>
    </xdr:sp>
    <xdr:clientData/>
  </xdr:oneCellAnchor>
  <xdr:twoCellAnchor>
    <xdr:from>
      <xdr:col>0</xdr:col>
      <xdr:colOff>266700</xdr:colOff>
      <xdr:row>5</xdr:row>
      <xdr:rowOff>114301</xdr:rowOff>
    </xdr:from>
    <xdr:to>
      <xdr:col>3</xdr:col>
      <xdr:colOff>95250</xdr:colOff>
      <xdr:row>7</xdr:row>
      <xdr:rowOff>114301</xdr:rowOff>
    </xdr:to>
    <xdr:sp macro="" textlink="">
      <xdr:nvSpPr>
        <xdr:cNvPr id="12" name="Flowchart: Process 11">
          <a:hlinkClick xmlns:r="http://schemas.openxmlformats.org/officeDocument/2006/relationships" r:id="rId3"/>
        </xdr:cNvPr>
        <xdr:cNvSpPr/>
      </xdr:nvSpPr>
      <xdr:spPr>
        <a:xfrm>
          <a:off x="266700" y="1028701"/>
          <a:ext cx="1398270"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3</xdr:col>
      <xdr:colOff>142874</xdr:colOff>
      <xdr:row>5</xdr:row>
      <xdr:rowOff>114300</xdr:rowOff>
    </xdr:from>
    <xdr:to>
      <xdr:col>4</xdr:col>
      <xdr:colOff>123825</xdr:colOff>
      <xdr:row>7</xdr:row>
      <xdr:rowOff>114300</xdr:rowOff>
    </xdr:to>
    <xdr:sp macro="" textlink="">
      <xdr:nvSpPr>
        <xdr:cNvPr id="13" name="Flowchart: Process 12">
          <a:hlinkClick xmlns:r="http://schemas.openxmlformats.org/officeDocument/2006/relationships" r:id="rId4"/>
        </xdr:cNvPr>
        <xdr:cNvSpPr/>
      </xdr:nvSpPr>
      <xdr:spPr>
        <a:xfrm>
          <a:off x="1666874" y="1066800"/>
          <a:ext cx="1438276"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5</xdr:col>
      <xdr:colOff>15239</xdr:colOff>
      <xdr:row>5</xdr:row>
      <xdr:rowOff>114300</xdr:rowOff>
    </xdr:from>
    <xdr:to>
      <xdr:col>7</xdr:col>
      <xdr:colOff>149351</xdr:colOff>
      <xdr:row>7</xdr:row>
      <xdr:rowOff>114300</xdr:rowOff>
    </xdr:to>
    <xdr:sp macro="" textlink="">
      <xdr:nvSpPr>
        <xdr:cNvPr id="14" name="Flowchart: Process 13">
          <a:hlinkClick xmlns:r="http://schemas.openxmlformats.org/officeDocument/2006/relationships" r:id="rId5"/>
        </xdr:cNvPr>
        <xdr:cNvSpPr/>
      </xdr:nvSpPr>
      <xdr:spPr>
        <a:xfrm>
          <a:off x="3158489" y="1066800"/>
          <a:ext cx="1362837"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SRA </a:t>
          </a:r>
          <a:r>
            <a:rPr lang="en-US" sz="1100" b="1" baseline="0"/>
            <a:t>Settings</a:t>
          </a:r>
          <a:endParaRPr lang="en-US" sz="1100" b="1"/>
        </a:p>
      </xdr:txBody>
    </xdr:sp>
    <xdr:clientData/>
  </xdr:twoCellAnchor>
  <xdr:twoCellAnchor>
    <xdr:from>
      <xdr:col>7</xdr:col>
      <xdr:colOff>207644</xdr:colOff>
      <xdr:row>5</xdr:row>
      <xdr:rowOff>114300</xdr:rowOff>
    </xdr:from>
    <xdr:to>
      <xdr:col>9</xdr:col>
      <xdr:colOff>402716</xdr:colOff>
      <xdr:row>7</xdr:row>
      <xdr:rowOff>114300</xdr:rowOff>
    </xdr:to>
    <xdr:sp macro="" textlink="">
      <xdr:nvSpPr>
        <xdr:cNvPr id="15" name="Flowchart: Process 14">
          <a:hlinkClick xmlns:r="http://schemas.openxmlformats.org/officeDocument/2006/relationships" r:id="rId6"/>
        </xdr:cNvPr>
        <xdr:cNvSpPr/>
      </xdr:nvSpPr>
      <xdr:spPr>
        <a:xfrm>
          <a:off x="4579619" y="1066800"/>
          <a:ext cx="1366647"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SRA Environment</a:t>
          </a:r>
          <a:endParaRPr lang="en-US" sz="1100" b="1"/>
        </a:p>
      </xdr:txBody>
    </xdr:sp>
    <xdr:clientData/>
  </xdr:twoCellAnchor>
  <xdr:oneCellAnchor>
    <xdr:from>
      <xdr:col>0</xdr:col>
      <xdr:colOff>266700</xdr:colOff>
      <xdr:row>10</xdr:row>
      <xdr:rowOff>104775</xdr:rowOff>
    </xdr:from>
    <xdr:ext cx="8601076" cy="1172629"/>
    <xdr:sp macro="" textlink="">
      <xdr:nvSpPr>
        <xdr:cNvPr id="18" name="TextBox 17"/>
        <xdr:cNvSpPr txBox="1"/>
      </xdr:nvSpPr>
      <xdr:spPr>
        <a:xfrm>
          <a:off x="266700" y="2009775"/>
          <a:ext cx="8601076" cy="11726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t>Step 3: Configure desired security protection settings</a:t>
          </a:r>
        </a:p>
        <a:p>
          <a:r>
            <a:rPr lang="en-US" sz="1100" b="0" baseline="0">
              <a:solidFill>
                <a:schemeClr val="tx1"/>
              </a:solidFill>
              <a:latin typeface="+mn-lt"/>
              <a:ea typeface="+mn-ea"/>
              <a:cs typeface="+mn-cs"/>
            </a:rPr>
            <a:t>Select the settings in the drop-down list boxes below that reflect the settings you expect to use in your environment. </a:t>
          </a:r>
        </a:p>
        <a:p>
          <a:endParaRPr lang="en-US" sz="1100" b="0" baseline="0">
            <a:solidFill>
              <a:schemeClr val="tx1"/>
            </a:solidFill>
            <a:latin typeface="+mn-lt"/>
            <a:ea typeface="+mn-ea"/>
            <a:cs typeface="+mn-cs"/>
          </a:endParaRPr>
        </a:p>
        <a:p>
          <a:r>
            <a:rPr lang="en-US" sz="1100" b="0" baseline="0">
              <a:solidFill>
                <a:schemeClr val="tx1"/>
              </a:solidFill>
              <a:latin typeface="+mn-lt"/>
              <a:ea typeface="+mn-ea"/>
              <a:cs typeface="+mn-cs"/>
            </a:rPr>
            <a:t>For each server in the </a:t>
          </a:r>
          <a:r>
            <a:rPr lang="en-US" sz="1100">
              <a:solidFill>
                <a:schemeClr val="tx1"/>
              </a:solidFill>
              <a:latin typeface="+mn-lt"/>
              <a:ea typeface="+mn-ea"/>
              <a:cs typeface="+mn-cs"/>
            </a:rPr>
            <a:t>Standard Reference Architecture (</a:t>
          </a:r>
          <a:r>
            <a:rPr lang="en-US" sz="1100" b="0" baseline="0">
              <a:solidFill>
                <a:schemeClr val="tx1"/>
              </a:solidFill>
              <a:latin typeface="+mn-lt"/>
              <a:ea typeface="+mn-ea"/>
              <a:cs typeface="+mn-cs"/>
            </a:rPr>
            <a:t>SRA), you can set a variety of security protection settings. Not all of the settings are shown below, but using the settings available, you can closely replicate the protection settings you plan to deploy for your environment. Number of scan processes on the edge server and bias on all servers are static and cannot be modified. </a:t>
          </a:r>
        </a:p>
      </xdr:txBody>
    </xdr:sp>
    <xdr:clientData/>
  </xdr:oneCellAnchor>
  <xdr:twoCellAnchor>
    <xdr:from>
      <xdr:col>13</xdr:col>
      <xdr:colOff>0</xdr:colOff>
      <xdr:row>37</xdr:row>
      <xdr:rowOff>9525</xdr:rowOff>
    </xdr:from>
    <xdr:to>
      <xdr:col>16</xdr:col>
      <xdr:colOff>401955</xdr:colOff>
      <xdr:row>40</xdr:row>
      <xdr:rowOff>57150</xdr:rowOff>
    </xdr:to>
    <xdr:sp macro="" textlink="">
      <xdr:nvSpPr>
        <xdr:cNvPr id="20" name="Flowchart: Process 19">
          <a:hlinkClick xmlns:r="http://schemas.openxmlformats.org/officeDocument/2006/relationships" r:id="rId7"/>
        </xdr:cNvPr>
        <xdr:cNvSpPr/>
      </xdr:nvSpPr>
      <xdr:spPr>
        <a:xfrm>
          <a:off x="7439025" y="7105650"/>
          <a:ext cx="2183130" cy="619125"/>
        </a:xfrm>
        <a:prstGeom prst="flowChartProcess">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Go to Next Step:</a:t>
          </a:r>
          <a:r>
            <a:rPr lang="en-US" sz="1100" b="1" baseline="0"/>
            <a:t> </a:t>
          </a:r>
        </a:p>
        <a:p>
          <a:pPr algn="ctr"/>
          <a:r>
            <a:rPr lang="en-US" sz="1100" b="1" baseline="0"/>
            <a:t>Describe the Environment to Be Supported</a:t>
          </a:r>
          <a:endParaRPr lang="en-US" sz="1100" b="1"/>
        </a:p>
      </xdr:txBody>
    </xdr:sp>
    <xdr:clientData/>
  </xdr:twoCellAnchor>
  <xdr:twoCellAnchor>
    <xdr:from>
      <xdr:col>9</xdr:col>
      <xdr:colOff>466724</xdr:colOff>
      <xdr:row>5</xdr:row>
      <xdr:rowOff>108584</xdr:rowOff>
    </xdr:from>
    <xdr:to>
      <xdr:col>11</xdr:col>
      <xdr:colOff>466725</xdr:colOff>
      <xdr:row>7</xdr:row>
      <xdr:rowOff>110490</xdr:rowOff>
    </xdr:to>
    <xdr:sp macro="" textlink="">
      <xdr:nvSpPr>
        <xdr:cNvPr id="11" name="Flowchart: Process 10">
          <a:hlinkClick xmlns:r="http://schemas.openxmlformats.org/officeDocument/2006/relationships" r:id="rId8"/>
        </xdr:cNvPr>
        <xdr:cNvSpPr/>
      </xdr:nvSpPr>
      <xdr:spPr>
        <a:xfrm>
          <a:off x="6010274" y="1061084"/>
          <a:ext cx="1504951" cy="38290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SRA Recommendations</a:t>
          </a:r>
          <a:endParaRPr lang="en-US" sz="1100" b="1"/>
        </a:p>
      </xdr:txBody>
    </xdr:sp>
    <xdr:clientData/>
  </xdr:twoCellAnchor>
  <xdr:twoCellAnchor>
    <xdr:from>
      <xdr:col>2</xdr:col>
      <xdr:colOff>9525</xdr:colOff>
      <xdr:row>28</xdr:row>
      <xdr:rowOff>0</xdr:rowOff>
    </xdr:from>
    <xdr:to>
      <xdr:col>5</xdr:col>
      <xdr:colOff>707350</xdr:colOff>
      <xdr:row>30</xdr:row>
      <xdr:rowOff>55786</xdr:rowOff>
    </xdr:to>
    <xdr:grpSp>
      <xdr:nvGrpSpPr>
        <xdr:cNvPr id="17" name="Group 16"/>
        <xdr:cNvGrpSpPr/>
      </xdr:nvGrpSpPr>
      <xdr:grpSpPr>
        <a:xfrm>
          <a:off x="1371600" y="5381625"/>
          <a:ext cx="2479000" cy="436786"/>
          <a:chOff x="438150" y="4962525"/>
          <a:chExt cx="2031325" cy="436786"/>
        </a:xfrm>
      </xdr:grpSpPr>
      <xdr:sp macro="" textlink="">
        <xdr:nvSpPr>
          <xdr:cNvPr id="19" name="TextBox 18"/>
          <xdr:cNvSpPr txBox="1"/>
        </xdr:nvSpPr>
        <xdr:spPr>
          <a:xfrm>
            <a:off x="438150" y="4962525"/>
            <a:ext cx="2031325"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Required	Optional	</a:t>
            </a:r>
          </a:p>
        </xdr:txBody>
      </xdr:sp>
      <xdr:grpSp>
        <xdr:nvGrpSpPr>
          <xdr:cNvPr id="21" name="Group 15"/>
          <xdr:cNvGrpSpPr/>
        </xdr:nvGrpSpPr>
        <xdr:grpSpPr>
          <a:xfrm>
            <a:off x="967852" y="5200650"/>
            <a:ext cx="1032807" cy="133350"/>
            <a:chOff x="967852" y="5200650"/>
            <a:chExt cx="1032807" cy="133350"/>
          </a:xfrm>
        </xdr:grpSpPr>
        <xdr:sp macro="" textlink="">
          <xdr:nvSpPr>
            <xdr:cNvPr id="22" name="Rectangle 21"/>
            <xdr:cNvSpPr/>
          </xdr:nvSpPr>
          <xdr:spPr>
            <a:xfrm>
              <a:off x="967852" y="5200650"/>
              <a:ext cx="285750" cy="133350"/>
            </a:xfrm>
            <a:prstGeom prst="rect">
              <a:avLst/>
            </a:prstGeom>
            <a:ln w="6350"/>
          </xdr:spPr>
          <xdr:style>
            <a:lnRef idx="2">
              <a:schemeClr val="accent2"/>
            </a:lnRef>
            <a:fillRef idx="1">
              <a:schemeClr val="lt1"/>
            </a:fillRef>
            <a:effectRef idx="0">
              <a:schemeClr val="accent2"/>
            </a:effectRef>
            <a:fontRef idx="minor">
              <a:schemeClr val="dk1"/>
            </a:fontRef>
          </xdr:style>
          <xdr:txBody>
            <a:bodyPr rtlCol="0" anchor="ctr"/>
            <a:lstStyle/>
            <a:p>
              <a:pPr algn="ctr"/>
              <a:endParaRPr lang="en-US" sz="1100"/>
            </a:p>
          </xdr:txBody>
        </xdr:sp>
        <xdr:sp macro="" textlink="">
          <xdr:nvSpPr>
            <xdr:cNvPr id="23" name="Rectangle 22"/>
            <xdr:cNvSpPr/>
          </xdr:nvSpPr>
          <xdr:spPr>
            <a:xfrm>
              <a:off x="1714909" y="5200650"/>
              <a:ext cx="285750" cy="133350"/>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1537334</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648699" cy="1173480"/>
        </a:xfrm>
        <a:prstGeom prst="rect">
          <a:avLst/>
        </a:prstGeom>
        <a:noFill/>
      </xdr:spPr>
    </xdr:pic>
    <xdr:clientData/>
  </xdr:twoCellAnchor>
  <xdr:twoCellAnchor editAs="oneCell">
    <xdr:from>
      <xdr:col>0</xdr:col>
      <xdr:colOff>66675</xdr:colOff>
      <xdr:row>0</xdr:row>
      <xdr:rowOff>180975</xdr:rowOff>
    </xdr:from>
    <xdr:to>
      <xdr:col>4</xdr:col>
      <xdr:colOff>1213485</xdr:colOff>
      <xdr:row>4</xdr:row>
      <xdr:rowOff>180975</xdr:rowOff>
    </xdr:to>
    <xdr:pic>
      <xdr:nvPicPr>
        <xdr:cNvPr id="4" name="Picture 3"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1</xdr:col>
      <xdr:colOff>352425</xdr:colOff>
      <xdr:row>7</xdr:row>
      <xdr:rowOff>133350</xdr:rowOff>
    </xdr:from>
    <xdr:ext cx="6934200" cy="468013"/>
    <xdr:sp macro="" textlink="">
      <xdr:nvSpPr>
        <xdr:cNvPr id="5" name="TextBox 4"/>
        <xdr:cNvSpPr txBox="1"/>
      </xdr:nvSpPr>
      <xdr:spPr>
        <a:xfrm>
          <a:off x="718185" y="1413510"/>
          <a:ext cx="6934200"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Standard</a:t>
          </a:r>
          <a:r>
            <a:rPr lang="en-US" sz="2400" b="1" baseline="0"/>
            <a:t> </a:t>
          </a:r>
          <a:r>
            <a:rPr lang="en-US" sz="2400" b="1"/>
            <a:t>Reference Architecture </a:t>
          </a:r>
          <a:endParaRPr lang="en-US" sz="2400" b="1" baseline="0"/>
        </a:p>
      </xdr:txBody>
    </xdr:sp>
    <xdr:clientData/>
  </xdr:oneCellAnchor>
  <xdr:oneCellAnchor>
    <xdr:from>
      <xdr:col>0</xdr:col>
      <xdr:colOff>266700</xdr:colOff>
      <xdr:row>12</xdr:row>
      <xdr:rowOff>47625</xdr:rowOff>
    </xdr:from>
    <xdr:ext cx="8601076" cy="828175"/>
    <xdr:sp macro="" textlink="">
      <xdr:nvSpPr>
        <xdr:cNvPr id="10" name="TextBox 9"/>
        <xdr:cNvSpPr txBox="1"/>
      </xdr:nvSpPr>
      <xdr:spPr>
        <a:xfrm>
          <a:off x="266700" y="2242185"/>
          <a:ext cx="8601076" cy="8281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Step 4: Describe the Environment to Be Supported</a:t>
          </a:r>
          <a:endParaRPr lang="en-US" sz="1800"/>
        </a:p>
        <a:p>
          <a:r>
            <a:rPr lang="en-US" sz="1100" b="0" baseline="0">
              <a:solidFill>
                <a:schemeClr val="tx1"/>
              </a:solidFill>
              <a:latin typeface="+mn-lt"/>
              <a:ea typeface="+mn-ea"/>
              <a:cs typeface="+mn-cs"/>
            </a:rPr>
            <a:t>Specify the number of mailboxes and the user load profile in the fields below.</a:t>
          </a:r>
          <a:endParaRPr lang="en-US"/>
        </a:p>
        <a:p>
          <a:pPr fontAlgn="base"/>
          <a:endParaRPr lang="en-US" sz="1100" b="0" baseline="0">
            <a:solidFill>
              <a:schemeClr val="tx1"/>
            </a:solidFill>
            <a:latin typeface="+mn-lt"/>
            <a:ea typeface="+mn-ea"/>
            <a:cs typeface="+mn-cs"/>
          </a:endParaRPr>
        </a:p>
        <a:p>
          <a:r>
            <a:rPr lang="en-US" sz="1100" b="0" baseline="0">
              <a:solidFill>
                <a:schemeClr val="tx1"/>
              </a:solidFill>
              <a:latin typeface="+mn-lt"/>
              <a:ea typeface="+mn-ea"/>
              <a:cs typeface="+mn-cs"/>
            </a:rPr>
            <a:t>Note the user load profile metrics in the table. Server data is calculated for you based on your input.</a:t>
          </a:r>
          <a:endParaRPr lang="en-US"/>
        </a:p>
      </xdr:txBody>
    </xdr:sp>
    <xdr:clientData/>
  </xdr:oneCellAnchor>
  <xdr:twoCellAnchor>
    <xdr:from>
      <xdr:col>10</xdr:col>
      <xdr:colOff>0</xdr:colOff>
      <xdr:row>37</xdr:row>
      <xdr:rowOff>0</xdr:rowOff>
    </xdr:from>
    <xdr:to>
      <xdr:col>11</xdr:col>
      <xdr:colOff>165735</xdr:colOff>
      <xdr:row>40</xdr:row>
      <xdr:rowOff>47625</xdr:rowOff>
    </xdr:to>
    <xdr:sp macro="" textlink="">
      <xdr:nvSpPr>
        <xdr:cNvPr id="12" name="Flowchart: Process 11">
          <a:hlinkClick xmlns:r="http://schemas.openxmlformats.org/officeDocument/2006/relationships" r:id="rId3"/>
        </xdr:cNvPr>
        <xdr:cNvSpPr/>
      </xdr:nvSpPr>
      <xdr:spPr>
        <a:xfrm>
          <a:off x="6758940" y="6446520"/>
          <a:ext cx="2230755" cy="596265"/>
        </a:xfrm>
        <a:prstGeom prst="flowChartProcess">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Go to Next Step:</a:t>
          </a:r>
          <a:r>
            <a:rPr lang="en-US" sz="1100" b="1" baseline="0"/>
            <a:t> </a:t>
          </a:r>
        </a:p>
        <a:p>
          <a:pPr algn="ctr"/>
          <a:r>
            <a:rPr lang="en-US" sz="1100" b="1" baseline="0"/>
            <a:t>Review Calculated Hardware Recommendations</a:t>
          </a:r>
          <a:endParaRPr lang="en-US" sz="1100" b="1"/>
        </a:p>
      </xdr:txBody>
    </xdr:sp>
    <xdr:clientData/>
  </xdr:twoCellAnchor>
  <xdr:twoCellAnchor>
    <xdr:from>
      <xdr:col>0</xdr:col>
      <xdr:colOff>266700</xdr:colOff>
      <xdr:row>5</xdr:row>
      <xdr:rowOff>116207</xdr:rowOff>
    </xdr:from>
    <xdr:to>
      <xdr:col>3</xdr:col>
      <xdr:colOff>95250</xdr:colOff>
      <xdr:row>7</xdr:row>
      <xdr:rowOff>116207</xdr:rowOff>
    </xdr:to>
    <xdr:sp macro="" textlink="">
      <xdr:nvSpPr>
        <xdr:cNvPr id="11" name="Flowchart: Process 10">
          <a:hlinkClick xmlns:r="http://schemas.openxmlformats.org/officeDocument/2006/relationships" r:id="rId4"/>
        </xdr:cNvPr>
        <xdr:cNvSpPr/>
      </xdr:nvSpPr>
      <xdr:spPr>
        <a:xfrm>
          <a:off x="266700" y="1030607"/>
          <a:ext cx="1398270"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3</xdr:col>
      <xdr:colOff>142874</xdr:colOff>
      <xdr:row>5</xdr:row>
      <xdr:rowOff>116206</xdr:rowOff>
    </xdr:from>
    <xdr:to>
      <xdr:col>4</xdr:col>
      <xdr:colOff>589406</xdr:colOff>
      <xdr:row>7</xdr:row>
      <xdr:rowOff>116206</xdr:rowOff>
    </xdr:to>
    <xdr:sp macro="" textlink="">
      <xdr:nvSpPr>
        <xdr:cNvPr id="13" name="Flowchart: Process 12">
          <a:hlinkClick xmlns:r="http://schemas.openxmlformats.org/officeDocument/2006/relationships" r:id="rId5"/>
        </xdr:cNvPr>
        <xdr:cNvSpPr/>
      </xdr:nvSpPr>
      <xdr:spPr>
        <a:xfrm>
          <a:off x="1712594" y="103060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4</xdr:col>
      <xdr:colOff>647699</xdr:colOff>
      <xdr:row>5</xdr:row>
      <xdr:rowOff>116206</xdr:rowOff>
    </xdr:from>
    <xdr:to>
      <xdr:col>5</xdr:col>
      <xdr:colOff>111251</xdr:colOff>
      <xdr:row>7</xdr:row>
      <xdr:rowOff>116206</xdr:rowOff>
    </xdr:to>
    <xdr:sp macro="" textlink="">
      <xdr:nvSpPr>
        <xdr:cNvPr id="14" name="Flowchart: Process 13">
          <a:hlinkClick xmlns:r="http://schemas.openxmlformats.org/officeDocument/2006/relationships" r:id="rId6"/>
        </xdr:cNvPr>
        <xdr:cNvSpPr/>
      </xdr:nvSpPr>
      <xdr:spPr>
        <a:xfrm>
          <a:off x="3169919" y="103060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SRA </a:t>
          </a:r>
          <a:r>
            <a:rPr lang="en-US" sz="1100" b="1" baseline="0"/>
            <a:t>Settings</a:t>
          </a:r>
          <a:endParaRPr lang="en-US" sz="1100" b="1"/>
        </a:p>
      </xdr:txBody>
    </xdr:sp>
    <xdr:clientData/>
  </xdr:twoCellAnchor>
  <xdr:twoCellAnchor>
    <xdr:from>
      <xdr:col>5</xdr:col>
      <xdr:colOff>169544</xdr:colOff>
      <xdr:row>5</xdr:row>
      <xdr:rowOff>106681</xdr:rowOff>
    </xdr:from>
    <xdr:to>
      <xdr:col>8</xdr:col>
      <xdr:colOff>471296</xdr:colOff>
      <xdr:row>7</xdr:row>
      <xdr:rowOff>106681</xdr:rowOff>
    </xdr:to>
    <xdr:sp macro="" textlink="">
      <xdr:nvSpPr>
        <xdr:cNvPr id="15" name="Flowchart: Process 14">
          <a:hlinkClick xmlns:r="http://schemas.openxmlformats.org/officeDocument/2006/relationships" r:id="rId7"/>
        </xdr:cNvPr>
        <xdr:cNvSpPr/>
      </xdr:nvSpPr>
      <xdr:spPr>
        <a:xfrm>
          <a:off x="4627244" y="1021081"/>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SRA Environment</a:t>
          </a:r>
          <a:endParaRPr lang="en-US" sz="1100" b="1"/>
        </a:p>
      </xdr:txBody>
    </xdr:sp>
    <xdr:clientData/>
  </xdr:twoCellAnchor>
  <xdr:twoCellAnchor>
    <xdr:from>
      <xdr:col>8</xdr:col>
      <xdr:colOff>535304</xdr:colOff>
      <xdr:row>5</xdr:row>
      <xdr:rowOff>91440</xdr:rowOff>
    </xdr:from>
    <xdr:to>
      <xdr:col>10</xdr:col>
      <xdr:colOff>944880</xdr:colOff>
      <xdr:row>7</xdr:row>
      <xdr:rowOff>93346</xdr:rowOff>
    </xdr:to>
    <xdr:sp macro="" textlink="">
      <xdr:nvSpPr>
        <xdr:cNvPr id="16" name="Flowchart: Process 15">
          <a:hlinkClick xmlns:r="http://schemas.openxmlformats.org/officeDocument/2006/relationships" r:id="rId8"/>
        </xdr:cNvPr>
        <xdr:cNvSpPr/>
      </xdr:nvSpPr>
      <xdr:spPr>
        <a:xfrm>
          <a:off x="6090284" y="1005840"/>
          <a:ext cx="1613536" cy="36766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SRA Recommendations</a:t>
          </a:r>
          <a:endParaRPr lang="en-US" sz="1100" b="1"/>
        </a:p>
      </xdr:txBody>
    </xdr:sp>
    <xdr:clientData/>
  </xdr:twoCellAnchor>
  <xdr:twoCellAnchor>
    <xdr:from>
      <xdr:col>10</xdr:col>
      <xdr:colOff>9525</xdr:colOff>
      <xdr:row>19</xdr:row>
      <xdr:rowOff>219075</xdr:rowOff>
    </xdr:from>
    <xdr:to>
      <xdr:col>11</xdr:col>
      <xdr:colOff>542925</xdr:colOff>
      <xdr:row>21</xdr:row>
      <xdr:rowOff>84361</xdr:rowOff>
    </xdr:to>
    <xdr:grpSp>
      <xdr:nvGrpSpPr>
        <xdr:cNvPr id="17" name="Group 16"/>
        <xdr:cNvGrpSpPr/>
      </xdr:nvGrpSpPr>
      <xdr:grpSpPr>
        <a:xfrm>
          <a:off x="6934200" y="3838575"/>
          <a:ext cx="2857500" cy="436786"/>
          <a:chOff x="438150" y="4962525"/>
          <a:chExt cx="2857500" cy="436786"/>
        </a:xfrm>
      </xdr:grpSpPr>
      <xdr:sp macro="" textlink="">
        <xdr:nvSpPr>
          <xdr:cNvPr id="18" name="TextBox 17"/>
          <xdr:cNvSpPr txBox="1"/>
        </xdr:nvSpPr>
        <xdr:spPr>
          <a:xfrm>
            <a:off x="438150" y="4962525"/>
            <a:ext cx="263181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Required	Optional	Calculated</a:t>
            </a:r>
          </a:p>
        </xdr:txBody>
      </xdr:sp>
      <xdr:grpSp>
        <xdr:nvGrpSpPr>
          <xdr:cNvPr id="19" name="Group 15"/>
          <xdr:cNvGrpSpPr/>
        </xdr:nvGrpSpPr>
        <xdr:grpSpPr>
          <a:xfrm>
            <a:off x="1123950" y="5200650"/>
            <a:ext cx="2171700" cy="133350"/>
            <a:chOff x="1123950" y="5200650"/>
            <a:chExt cx="2171700" cy="133350"/>
          </a:xfrm>
        </xdr:grpSpPr>
        <xdr:sp macro="" textlink="">
          <xdr:nvSpPr>
            <xdr:cNvPr id="20" name="Rectangle 19"/>
            <xdr:cNvSpPr/>
          </xdr:nvSpPr>
          <xdr:spPr>
            <a:xfrm>
              <a:off x="1123950" y="5200650"/>
              <a:ext cx="285750" cy="133350"/>
            </a:xfrm>
            <a:prstGeom prst="rect">
              <a:avLst/>
            </a:prstGeom>
            <a:ln w="6350"/>
          </xdr:spPr>
          <xdr:style>
            <a:lnRef idx="2">
              <a:schemeClr val="accent2"/>
            </a:lnRef>
            <a:fillRef idx="1">
              <a:schemeClr val="lt1"/>
            </a:fillRef>
            <a:effectRef idx="0">
              <a:schemeClr val="accent2"/>
            </a:effectRef>
            <a:fontRef idx="minor">
              <a:schemeClr val="dk1"/>
            </a:fontRef>
          </xdr:style>
          <xdr:txBody>
            <a:bodyPr rtlCol="0" anchor="ctr"/>
            <a:lstStyle/>
            <a:p>
              <a:pPr algn="ctr"/>
              <a:endParaRPr lang="en-US" sz="1100"/>
            </a:p>
          </xdr:txBody>
        </xdr:sp>
        <xdr:sp macro="" textlink="">
          <xdr:nvSpPr>
            <xdr:cNvPr id="21" name="Rectangle 20"/>
            <xdr:cNvSpPr/>
          </xdr:nvSpPr>
          <xdr:spPr>
            <a:xfrm>
              <a:off x="2019300" y="5200650"/>
              <a:ext cx="285750" cy="133350"/>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100"/>
            </a:p>
          </xdr:txBody>
        </xdr:sp>
        <xdr:sp macro="" textlink="">
          <xdr:nvSpPr>
            <xdr:cNvPr id="22" name="Rectangle 21"/>
            <xdr:cNvSpPr/>
          </xdr:nvSpPr>
          <xdr:spPr>
            <a:xfrm>
              <a:off x="3009900" y="5200650"/>
              <a:ext cx="285750" cy="133350"/>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487681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911591" cy="1173480"/>
        </a:xfrm>
        <a:prstGeom prst="rect">
          <a:avLst/>
        </a:prstGeom>
        <a:noFill/>
      </xdr:spPr>
    </xdr:pic>
    <xdr:clientData/>
  </xdr:twoCellAnchor>
  <xdr:twoCellAnchor editAs="oneCell">
    <xdr:from>
      <xdr:col>0</xdr:col>
      <xdr:colOff>66675</xdr:colOff>
      <xdr:row>0</xdr:row>
      <xdr:rowOff>180975</xdr:rowOff>
    </xdr:from>
    <xdr:to>
      <xdr:col>3</xdr:col>
      <xdr:colOff>2165985</xdr:colOff>
      <xdr:row>4</xdr:row>
      <xdr:rowOff>180975</xdr:rowOff>
    </xdr:to>
    <xdr:pic>
      <xdr:nvPicPr>
        <xdr:cNvPr id="4" name="Picture 3"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1</xdr:col>
      <xdr:colOff>352425</xdr:colOff>
      <xdr:row>7</xdr:row>
      <xdr:rowOff>133350</xdr:rowOff>
    </xdr:from>
    <xdr:ext cx="6934200" cy="468013"/>
    <xdr:sp macro="" textlink="">
      <xdr:nvSpPr>
        <xdr:cNvPr id="5" name="TextBox 4"/>
        <xdr:cNvSpPr txBox="1"/>
      </xdr:nvSpPr>
      <xdr:spPr>
        <a:xfrm>
          <a:off x="718185" y="1413510"/>
          <a:ext cx="6934200"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Standard</a:t>
          </a:r>
          <a:r>
            <a:rPr lang="en-US" sz="2400" b="1" baseline="0"/>
            <a:t> </a:t>
          </a:r>
          <a:r>
            <a:rPr lang="en-US" sz="2400" b="1"/>
            <a:t>Reference Architecture </a:t>
          </a:r>
          <a:endParaRPr lang="en-US" sz="2400" b="1" baseline="0"/>
        </a:p>
      </xdr:txBody>
    </xdr:sp>
    <xdr:clientData/>
  </xdr:oneCellAnchor>
  <xdr:oneCellAnchor>
    <xdr:from>
      <xdr:col>0</xdr:col>
      <xdr:colOff>266700</xdr:colOff>
      <xdr:row>12</xdr:row>
      <xdr:rowOff>47625</xdr:rowOff>
    </xdr:from>
    <xdr:ext cx="8601076" cy="483722"/>
    <xdr:sp macro="" textlink="">
      <xdr:nvSpPr>
        <xdr:cNvPr id="10" name="TextBox 9"/>
        <xdr:cNvSpPr txBox="1"/>
      </xdr:nvSpPr>
      <xdr:spPr>
        <a:xfrm>
          <a:off x="266700" y="2242185"/>
          <a:ext cx="8601076" cy="48372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Step 5: Calculated recommended hardware for profile</a:t>
          </a:r>
          <a:endParaRPr lang="en-US" sz="1800"/>
        </a:p>
        <a:p>
          <a:r>
            <a:rPr lang="en-US" sz="1100" b="0" baseline="0">
              <a:solidFill>
                <a:schemeClr val="tx1"/>
              </a:solidFill>
              <a:latin typeface="+mn-lt"/>
              <a:ea typeface="+mn-ea"/>
              <a:cs typeface="+mn-cs"/>
            </a:rPr>
            <a:t>Based upon the data collected and derived from the tool, the following hardware is recommended for your profile.</a:t>
          </a:r>
          <a:endParaRPr lang="en-US" sz="1100" b="0">
            <a:solidFill>
              <a:schemeClr val="tx1"/>
            </a:solidFill>
            <a:latin typeface="+mn-lt"/>
            <a:ea typeface="+mn-ea"/>
            <a:cs typeface="+mn-cs"/>
          </a:endParaRPr>
        </a:p>
      </xdr:txBody>
    </xdr:sp>
    <xdr:clientData/>
  </xdr:oneCellAnchor>
  <xdr:twoCellAnchor>
    <xdr:from>
      <xdr:col>0</xdr:col>
      <xdr:colOff>266700</xdr:colOff>
      <xdr:row>5</xdr:row>
      <xdr:rowOff>116207</xdr:rowOff>
    </xdr:from>
    <xdr:to>
      <xdr:col>3</xdr:col>
      <xdr:colOff>95250</xdr:colOff>
      <xdr:row>7</xdr:row>
      <xdr:rowOff>116207</xdr:rowOff>
    </xdr:to>
    <xdr:sp macro="" textlink="">
      <xdr:nvSpPr>
        <xdr:cNvPr id="11" name="Flowchart: Process 10">
          <a:hlinkClick xmlns:r="http://schemas.openxmlformats.org/officeDocument/2006/relationships" r:id="rId3"/>
        </xdr:cNvPr>
        <xdr:cNvSpPr/>
      </xdr:nvSpPr>
      <xdr:spPr>
        <a:xfrm>
          <a:off x="266700" y="1030607"/>
          <a:ext cx="1398270"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3</xdr:col>
      <xdr:colOff>142874</xdr:colOff>
      <xdr:row>5</xdr:row>
      <xdr:rowOff>116206</xdr:rowOff>
    </xdr:from>
    <xdr:to>
      <xdr:col>3</xdr:col>
      <xdr:colOff>1541906</xdr:colOff>
      <xdr:row>7</xdr:row>
      <xdr:rowOff>116206</xdr:rowOff>
    </xdr:to>
    <xdr:sp macro="" textlink="">
      <xdr:nvSpPr>
        <xdr:cNvPr id="12" name="Flowchart: Process 11">
          <a:hlinkClick xmlns:r="http://schemas.openxmlformats.org/officeDocument/2006/relationships" r:id="rId4"/>
        </xdr:cNvPr>
        <xdr:cNvSpPr/>
      </xdr:nvSpPr>
      <xdr:spPr>
        <a:xfrm>
          <a:off x="1712594" y="103060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3</xdr:col>
      <xdr:colOff>1600199</xdr:colOff>
      <xdr:row>5</xdr:row>
      <xdr:rowOff>116206</xdr:rowOff>
    </xdr:from>
    <xdr:to>
      <xdr:col>5</xdr:col>
      <xdr:colOff>515111</xdr:colOff>
      <xdr:row>7</xdr:row>
      <xdr:rowOff>116206</xdr:rowOff>
    </xdr:to>
    <xdr:sp macro="" textlink="">
      <xdr:nvSpPr>
        <xdr:cNvPr id="13" name="Flowchart: Process 12">
          <a:hlinkClick xmlns:r="http://schemas.openxmlformats.org/officeDocument/2006/relationships" r:id="rId5"/>
        </xdr:cNvPr>
        <xdr:cNvSpPr/>
      </xdr:nvSpPr>
      <xdr:spPr>
        <a:xfrm>
          <a:off x="3169919" y="103060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SRA </a:t>
          </a:r>
          <a:r>
            <a:rPr lang="en-US" sz="1100" b="1" baseline="0"/>
            <a:t>Settings</a:t>
          </a:r>
          <a:endParaRPr lang="en-US" sz="1100" b="1"/>
        </a:p>
      </xdr:txBody>
    </xdr:sp>
    <xdr:clientData/>
  </xdr:twoCellAnchor>
  <xdr:twoCellAnchor>
    <xdr:from>
      <xdr:col>5</xdr:col>
      <xdr:colOff>573404</xdr:colOff>
      <xdr:row>5</xdr:row>
      <xdr:rowOff>106681</xdr:rowOff>
    </xdr:from>
    <xdr:to>
      <xdr:col>8</xdr:col>
      <xdr:colOff>707516</xdr:colOff>
      <xdr:row>7</xdr:row>
      <xdr:rowOff>106681</xdr:rowOff>
    </xdr:to>
    <xdr:sp macro="" textlink="">
      <xdr:nvSpPr>
        <xdr:cNvPr id="14" name="Flowchart: Process 13">
          <a:hlinkClick xmlns:r="http://schemas.openxmlformats.org/officeDocument/2006/relationships" r:id="rId6"/>
        </xdr:cNvPr>
        <xdr:cNvSpPr/>
      </xdr:nvSpPr>
      <xdr:spPr>
        <a:xfrm>
          <a:off x="4627244" y="1021081"/>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SRA Environment</a:t>
          </a:r>
          <a:endParaRPr lang="en-US" sz="1100" b="1"/>
        </a:p>
      </xdr:txBody>
    </xdr:sp>
    <xdr:clientData/>
  </xdr:twoCellAnchor>
  <xdr:twoCellAnchor>
    <xdr:from>
      <xdr:col>8</xdr:col>
      <xdr:colOff>771524</xdr:colOff>
      <xdr:row>5</xdr:row>
      <xdr:rowOff>91440</xdr:rowOff>
    </xdr:from>
    <xdr:to>
      <xdr:col>8</xdr:col>
      <xdr:colOff>2385060</xdr:colOff>
      <xdr:row>7</xdr:row>
      <xdr:rowOff>93346</xdr:rowOff>
    </xdr:to>
    <xdr:sp macro="" textlink="">
      <xdr:nvSpPr>
        <xdr:cNvPr id="15" name="Flowchart: Process 14">
          <a:hlinkClick xmlns:r="http://schemas.openxmlformats.org/officeDocument/2006/relationships" r:id="rId7"/>
        </xdr:cNvPr>
        <xdr:cNvSpPr/>
      </xdr:nvSpPr>
      <xdr:spPr>
        <a:xfrm>
          <a:off x="6090284" y="1005840"/>
          <a:ext cx="1613536" cy="36766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SRA Recommendations</a:t>
          </a:r>
          <a:endParaRPr lang="en-US" sz="1100" b="1"/>
        </a:p>
      </xdr:txBody>
    </xdr:sp>
    <xdr:clientData/>
  </xdr:twoCellAnchor>
  <xdr:twoCellAnchor>
    <xdr:from>
      <xdr:col>8</xdr:col>
      <xdr:colOff>1628775</xdr:colOff>
      <xdr:row>12</xdr:row>
      <xdr:rowOff>0</xdr:rowOff>
    </xdr:from>
    <xdr:to>
      <xdr:col>10</xdr:col>
      <xdr:colOff>57150</xdr:colOff>
      <xdr:row>14</xdr:row>
      <xdr:rowOff>55786</xdr:rowOff>
    </xdr:to>
    <xdr:grpSp>
      <xdr:nvGrpSpPr>
        <xdr:cNvPr id="23" name="Group 22"/>
        <xdr:cNvGrpSpPr/>
      </xdr:nvGrpSpPr>
      <xdr:grpSpPr>
        <a:xfrm>
          <a:off x="7191375" y="2286000"/>
          <a:ext cx="1057275" cy="436786"/>
          <a:chOff x="438150" y="4962525"/>
          <a:chExt cx="1057275" cy="436786"/>
        </a:xfrm>
      </xdr:grpSpPr>
      <xdr:sp macro="" textlink="">
        <xdr:nvSpPr>
          <xdr:cNvPr id="24" name="TextBox 23"/>
          <xdr:cNvSpPr txBox="1"/>
        </xdr:nvSpPr>
        <xdr:spPr>
          <a:xfrm>
            <a:off x="438150" y="4962525"/>
            <a:ext cx="78515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Calculated</a:t>
            </a:r>
          </a:p>
        </xdr:txBody>
      </xdr:sp>
      <xdr:sp macro="" textlink="">
        <xdr:nvSpPr>
          <xdr:cNvPr id="28" name="Rectangle 27"/>
          <xdr:cNvSpPr/>
        </xdr:nvSpPr>
        <xdr:spPr>
          <a:xfrm>
            <a:off x="1209675" y="5200650"/>
            <a:ext cx="285750" cy="133350"/>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oneCellAnchor>
    <xdr:from>
      <xdr:col>3</xdr:col>
      <xdr:colOff>1409700</xdr:colOff>
      <xdr:row>37</xdr:row>
      <xdr:rowOff>43815</xdr:rowOff>
    </xdr:from>
    <xdr:ext cx="5379720" cy="1642373"/>
    <xdr:sp macro="" textlink="">
      <xdr:nvSpPr>
        <xdr:cNvPr id="18" name="TextBox 17"/>
        <xdr:cNvSpPr txBox="1"/>
      </xdr:nvSpPr>
      <xdr:spPr>
        <a:xfrm>
          <a:off x="2933700" y="7139940"/>
          <a:ext cx="5379720" cy="16423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baseline="0">
              <a:solidFill>
                <a:schemeClr val="tx1"/>
              </a:solidFill>
              <a:latin typeface="+mn-lt"/>
              <a:ea typeface="+mn-ea"/>
              <a:cs typeface="+mn-cs"/>
            </a:rPr>
            <a:t>NOTE: </a:t>
          </a:r>
          <a:r>
            <a:rPr lang="en-US" sz="1100" i="1" baseline="0">
              <a:solidFill>
                <a:schemeClr val="tx1"/>
              </a:solidFill>
              <a:latin typeface="+mn-lt"/>
              <a:ea typeface="+mn-ea"/>
              <a:cs typeface="+mn-cs"/>
            </a:rPr>
            <a:t>You should not base hardware purchase decisions exclusively on this information. </a:t>
          </a:r>
          <a:r>
            <a:rPr lang="en-US" sz="1100" i="0" baseline="0">
              <a:solidFill>
                <a:schemeClr val="tx1"/>
              </a:solidFill>
              <a:latin typeface="+mn-lt"/>
              <a:ea typeface="+mn-ea"/>
              <a:cs typeface="+mn-cs"/>
            </a:rPr>
            <a:t>This capacity planning tool is not a replacement for thorough Microsoft Exchange capacity planning.</a:t>
          </a:r>
        </a:p>
        <a:p>
          <a:pPr fontAlgn="base"/>
          <a:endParaRPr lang="en-US" sz="1100" i="0" baseline="0">
            <a:solidFill>
              <a:schemeClr val="tx1"/>
            </a:solidFill>
            <a:latin typeface="+mn-lt"/>
            <a:ea typeface="+mn-ea"/>
            <a:cs typeface="+mn-cs"/>
          </a:endParaRPr>
        </a:p>
        <a:p>
          <a:r>
            <a:rPr lang="en-US" sz="1100" i="0" baseline="0">
              <a:solidFill>
                <a:schemeClr val="tx1"/>
              </a:solidFill>
              <a:latin typeface="+mn-lt"/>
              <a:ea typeface="+mn-ea"/>
              <a:cs typeface="+mn-cs"/>
            </a:rPr>
            <a:t>*Processor recommendation for all servers is a minimum of 4 cores. This is in line with Exchange Server recommendations. Results are provided based on the test hardware profile which used 2 hyper-threaded processors. Please refer to the processor benchmark data linked from the Resources worksheet for further information about processor performance. </a:t>
          </a:r>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769620</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321040" cy="1173480"/>
        </a:xfrm>
        <a:prstGeom prst="rect">
          <a:avLst/>
        </a:prstGeom>
        <a:noFill/>
      </xdr:spPr>
    </xdr:pic>
    <xdr:clientData/>
  </xdr:twoCellAnchor>
  <xdr:twoCellAnchor editAs="oneCell">
    <xdr:from>
      <xdr:col>0</xdr:col>
      <xdr:colOff>66675</xdr:colOff>
      <xdr:row>0</xdr:row>
      <xdr:rowOff>180975</xdr:rowOff>
    </xdr:from>
    <xdr:to>
      <xdr:col>6</xdr:col>
      <xdr:colOff>441960</xdr:colOff>
      <xdr:row>4</xdr:row>
      <xdr:rowOff>180975</xdr:rowOff>
    </xdr:to>
    <xdr:pic>
      <xdr:nvPicPr>
        <xdr:cNvPr id="3" name="Picture 2"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2</xdr:col>
      <xdr:colOff>70484</xdr:colOff>
      <xdr:row>7</xdr:row>
      <xdr:rowOff>133350</xdr:rowOff>
    </xdr:from>
    <xdr:ext cx="7107555" cy="468013"/>
    <xdr:sp macro="" textlink="">
      <xdr:nvSpPr>
        <xdr:cNvPr id="4" name="TextBox 3"/>
        <xdr:cNvSpPr txBox="1"/>
      </xdr:nvSpPr>
      <xdr:spPr>
        <a:xfrm>
          <a:off x="436244" y="1413510"/>
          <a:ext cx="7107555"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Enterprise Reference Architecture </a:t>
          </a:r>
          <a:endParaRPr lang="en-US" sz="2400" b="1" baseline="0"/>
        </a:p>
      </xdr:txBody>
    </xdr:sp>
    <xdr:clientData/>
  </xdr:oneCellAnchor>
  <xdr:twoCellAnchor>
    <xdr:from>
      <xdr:col>0</xdr:col>
      <xdr:colOff>266700</xdr:colOff>
      <xdr:row>5</xdr:row>
      <xdr:rowOff>114301</xdr:rowOff>
    </xdr:from>
    <xdr:to>
      <xdr:col>2</xdr:col>
      <xdr:colOff>1304925</xdr:colOff>
      <xdr:row>7</xdr:row>
      <xdr:rowOff>114301</xdr:rowOff>
    </xdr:to>
    <xdr:sp macro="" textlink="">
      <xdr:nvSpPr>
        <xdr:cNvPr id="5" name="Flowchart: Process 4">
          <a:hlinkClick xmlns:r="http://schemas.openxmlformats.org/officeDocument/2006/relationships" r:id="rId3"/>
        </xdr:cNvPr>
        <xdr:cNvSpPr/>
      </xdr:nvSpPr>
      <xdr:spPr>
        <a:xfrm>
          <a:off x="266700" y="1066801"/>
          <a:ext cx="1552575"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2</xdr:col>
      <xdr:colOff>1362074</xdr:colOff>
      <xdr:row>5</xdr:row>
      <xdr:rowOff>114300</xdr:rowOff>
    </xdr:from>
    <xdr:to>
      <xdr:col>6</xdr:col>
      <xdr:colOff>33146</xdr:colOff>
      <xdr:row>7</xdr:row>
      <xdr:rowOff>114300</xdr:rowOff>
    </xdr:to>
    <xdr:sp macro="" textlink="">
      <xdr:nvSpPr>
        <xdr:cNvPr id="6" name="Flowchart: Process 5">
          <a:hlinkClick xmlns:r="http://schemas.openxmlformats.org/officeDocument/2006/relationships" r:id="rId4"/>
        </xdr:cNvPr>
        <xdr:cNvSpPr/>
      </xdr:nvSpPr>
      <xdr:spPr>
        <a:xfrm>
          <a:off x="1876424" y="1066800"/>
          <a:ext cx="1366647"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6</xdr:col>
      <xdr:colOff>91439</xdr:colOff>
      <xdr:row>5</xdr:row>
      <xdr:rowOff>114300</xdr:rowOff>
    </xdr:from>
    <xdr:to>
      <xdr:col>8</xdr:col>
      <xdr:colOff>225551</xdr:colOff>
      <xdr:row>7</xdr:row>
      <xdr:rowOff>114300</xdr:rowOff>
    </xdr:to>
    <xdr:sp macro="" textlink="">
      <xdr:nvSpPr>
        <xdr:cNvPr id="7" name="Flowchart: Process 6">
          <a:hlinkClick xmlns:r="http://schemas.openxmlformats.org/officeDocument/2006/relationships" r:id="rId5"/>
        </xdr:cNvPr>
        <xdr:cNvSpPr/>
      </xdr:nvSpPr>
      <xdr:spPr>
        <a:xfrm>
          <a:off x="3301364" y="1066800"/>
          <a:ext cx="1362837"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ERA </a:t>
          </a:r>
          <a:r>
            <a:rPr lang="en-US" sz="1100" b="1" baseline="0"/>
            <a:t>Settings</a:t>
          </a:r>
          <a:endParaRPr lang="en-US" sz="1100" b="1"/>
        </a:p>
      </xdr:txBody>
    </xdr:sp>
    <xdr:clientData/>
  </xdr:twoCellAnchor>
  <xdr:twoCellAnchor>
    <xdr:from>
      <xdr:col>8</xdr:col>
      <xdr:colOff>283844</xdr:colOff>
      <xdr:row>5</xdr:row>
      <xdr:rowOff>114300</xdr:rowOff>
    </xdr:from>
    <xdr:to>
      <xdr:col>10</xdr:col>
      <xdr:colOff>19050</xdr:colOff>
      <xdr:row>7</xdr:row>
      <xdr:rowOff>114300</xdr:rowOff>
    </xdr:to>
    <xdr:sp macro="" textlink="">
      <xdr:nvSpPr>
        <xdr:cNvPr id="8" name="Flowchart: Process 7">
          <a:hlinkClick xmlns:r="http://schemas.openxmlformats.org/officeDocument/2006/relationships" r:id="rId6"/>
        </xdr:cNvPr>
        <xdr:cNvSpPr/>
      </xdr:nvSpPr>
      <xdr:spPr>
        <a:xfrm>
          <a:off x="4722494" y="1066800"/>
          <a:ext cx="1297306" cy="38100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ERA Environment</a:t>
          </a:r>
          <a:endParaRPr lang="en-US" sz="1100" b="1"/>
        </a:p>
      </xdr:txBody>
    </xdr:sp>
    <xdr:clientData/>
  </xdr:twoCellAnchor>
  <xdr:oneCellAnchor>
    <xdr:from>
      <xdr:col>0</xdr:col>
      <xdr:colOff>266700</xdr:colOff>
      <xdr:row>12</xdr:row>
      <xdr:rowOff>47625</xdr:rowOff>
    </xdr:from>
    <xdr:ext cx="8397240" cy="828175"/>
    <xdr:sp macro="" textlink="">
      <xdr:nvSpPr>
        <xdr:cNvPr id="9" name="TextBox 8"/>
        <xdr:cNvSpPr txBox="1"/>
      </xdr:nvSpPr>
      <xdr:spPr>
        <a:xfrm>
          <a:off x="266700" y="2333625"/>
          <a:ext cx="8397240" cy="8281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t>Step 3: Configure desired security protection settings</a:t>
          </a:r>
        </a:p>
        <a:p>
          <a:r>
            <a:rPr lang="en-US" sz="1100" b="0" baseline="0">
              <a:solidFill>
                <a:schemeClr val="tx1"/>
              </a:solidFill>
              <a:latin typeface="+mn-lt"/>
              <a:ea typeface="+mn-ea"/>
              <a:cs typeface="+mn-cs"/>
            </a:rPr>
            <a:t>For each server in the </a:t>
          </a:r>
          <a:r>
            <a:rPr lang="en-US" sz="1100">
              <a:solidFill>
                <a:schemeClr val="tx1"/>
              </a:solidFill>
              <a:latin typeface="+mn-lt"/>
              <a:ea typeface="+mn-ea"/>
              <a:cs typeface="+mn-cs"/>
            </a:rPr>
            <a:t>Standard Reference Architecture (SRA)</a:t>
          </a:r>
          <a:r>
            <a:rPr lang="en-US" sz="1100" b="0" baseline="0">
              <a:solidFill>
                <a:schemeClr val="tx1"/>
              </a:solidFill>
              <a:latin typeface="+mn-lt"/>
              <a:ea typeface="+mn-ea"/>
              <a:cs typeface="+mn-cs"/>
            </a:rPr>
            <a:t>, you can set a variety of security protection settings to closely replicate the protection settings you plan to deploy for your environment. Number of scan processes on the edge server and the bias on all servers cannot be modified.</a:t>
          </a:r>
        </a:p>
      </xdr:txBody>
    </xdr:sp>
    <xdr:clientData/>
  </xdr:oneCellAnchor>
  <xdr:twoCellAnchor>
    <xdr:from>
      <xdr:col>1</xdr:col>
      <xdr:colOff>15240</xdr:colOff>
      <xdr:row>27</xdr:row>
      <xdr:rowOff>30480</xdr:rowOff>
    </xdr:from>
    <xdr:to>
      <xdr:col>4</xdr:col>
      <xdr:colOff>417195</xdr:colOff>
      <xdr:row>30</xdr:row>
      <xdr:rowOff>78105</xdr:rowOff>
    </xdr:to>
    <xdr:sp macro="" textlink="">
      <xdr:nvSpPr>
        <xdr:cNvPr id="10" name="Flowchart: Process 9">
          <a:hlinkClick xmlns:r="http://schemas.openxmlformats.org/officeDocument/2006/relationships" r:id="rId7"/>
        </xdr:cNvPr>
        <xdr:cNvSpPr/>
      </xdr:nvSpPr>
      <xdr:spPr>
        <a:xfrm>
          <a:off x="381000" y="5013960"/>
          <a:ext cx="1773555" cy="596265"/>
        </a:xfrm>
        <a:prstGeom prst="flowChartProcess">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Go to Next Step:</a:t>
          </a:r>
          <a:r>
            <a:rPr lang="en-US" sz="1100" b="1" baseline="0"/>
            <a:t> </a:t>
          </a:r>
        </a:p>
        <a:p>
          <a:pPr algn="ctr"/>
          <a:r>
            <a:rPr lang="en-US" sz="1100" b="1" baseline="0"/>
            <a:t>Describe the Environment to Be Supported</a:t>
          </a:r>
          <a:endParaRPr lang="en-US" sz="1100" b="1"/>
        </a:p>
      </xdr:txBody>
    </xdr:sp>
    <xdr:clientData/>
  </xdr:twoCellAnchor>
  <xdr:twoCellAnchor>
    <xdr:from>
      <xdr:col>10</xdr:col>
      <xdr:colOff>85725</xdr:colOff>
      <xdr:row>5</xdr:row>
      <xdr:rowOff>108584</xdr:rowOff>
    </xdr:from>
    <xdr:to>
      <xdr:col>13</xdr:col>
      <xdr:colOff>66675</xdr:colOff>
      <xdr:row>7</xdr:row>
      <xdr:rowOff>110490</xdr:rowOff>
    </xdr:to>
    <xdr:sp macro="" textlink="">
      <xdr:nvSpPr>
        <xdr:cNvPr id="11" name="Flowchart: Process 10">
          <a:hlinkClick xmlns:r="http://schemas.openxmlformats.org/officeDocument/2006/relationships" r:id="rId8"/>
        </xdr:cNvPr>
        <xdr:cNvSpPr/>
      </xdr:nvSpPr>
      <xdr:spPr>
        <a:xfrm>
          <a:off x="6086475" y="1061084"/>
          <a:ext cx="1314450" cy="38290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ERA Recommendations</a:t>
          </a:r>
          <a:endParaRPr lang="en-US" sz="1100" b="1"/>
        </a:p>
      </xdr:txBody>
    </xdr:sp>
    <xdr:clientData/>
  </xdr:twoCellAnchor>
  <xdr:twoCellAnchor>
    <xdr:from>
      <xdr:col>7</xdr:col>
      <xdr:colOff>104775</xdr:colOff>
      <xdr:row>28</xdr:row>
      <xdr:rowOff>0</xdr:rowOff>
    </xdr:from>
    <xdr:to>
      <xdr:col>10</xdr:col>
      <xdr:colOff>425589</xdr:colOff>
      <xdr:row>30</xdr:row>
      <xdr:rowOff>55786</xdr:rowOff>
    </xdr:to>
    <xdr:grpSp>
      <xdr:nvGrpSpPr>
        <xdr:cNvPr id="12" name="Group 11"/>
        <xdr:cNvGrpSpPr/>
      </xdr:nvGrpSpPr>
      <xdr:grpSpPr>
        <a:xfrm>
          <a:off x="4381500" y="5381625"/>
          <a:ext cx="2044839" cy="436786"/>
          <a:chOff x="438150" y="4962525"/>
          <a:chExt cx="1715107" cy="436786"/>
        </a:xfrm>
      </xdr:grpSpPr>
      <xdr:sp macro="" textlink="">
        <xdr:nvSpPr>
          <xdr:cNvPr id="13" name="TextBox 12"/>
          <xdr:cNvSpPr txBox="1"/>
        </xdr:nvSpPr>
        <xdr:spPr>
          <a:xfrm>
            <a:off x="438150" y="4962525"/>
            <a:ext cx="1703773"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Required	</a:t>
            </a:r>
            <a:r>
              <a:rPr lang="en-US" sz="1100" baseline="0"/>
              <a:t>     </a:t>
            </a:r>
            <a:r>
              <a:rPr lang="en-US" sz="1100"/>
              <a:t>Optional	</a:t>
            </a:r>
          </a:p>
        </xdr:txBody>
      </xdr:sp>
      <xdr:grpSp>
        <xdr:nvGrpSpPr>
          <xdr:cNvPr id="14" name="Group 15"/>
          <xdr:cNvGrpSpPr/>
        </xdr:nvGrpSpPr>
        <xdr:grpSpPr>
          <a:xfrm>
            <a:off x="972158" y="5200650"/>
            <a:ext cx="1181099" cy="133350"/>
            <a:chOff x="972158" y="5200650"/>
            <a:chExt cx="1181099" cy="133350"/>
          </a:xfrm>
        </xdr:grpSpPr>
        <xdr:sp macro="" textlink="">
          <xdr:nvSpPr>
            <xdr:cNvPr id="15" name="Rectangle 14"/>
            <xdr:cNvSpPr/>
          </xdr:nvSpPr>
          <xdr:spPr>
            <a:xfrm>
              <a:off x="972158" y="5200650"/>
              <a:ext cx="285750" cy="133350"/>
            </a:xfrm>
            <a:prstGeom prst="rect">
              <a:avLst/>
            </a:prstGeom>
            <a:ln w="6350"/>
          </xdr:spPr>
          <xdr:style>
            <a:lnRef idx="2">
              <a:schemeClr val="accent2"/>
            </a:lnRef>
            <a:fillRef idx="1">
              <a:schemeClr val="lt1"/>
            </a:fillRef>
            <a:effectRef idx="0">
              <a:schemeClr val="accent2"/>
            </a:effectRef>
            <a:fontRef idx="minor">
              <a:schemeClr val="dk1"/>
            </a:fontRef>
          </xdr:style>
          <xdr:txBody>
            <a:bodyPr rtlCol="0" anchor="ctr"/>
            <a:lstStyle/>
            <a:p>
              <a:pPr algn="ctr"/>
              <a:endParaRPr lang="en-US" sz="1100"/>
            </a:p>
          </xdr:txBody>
        </xdr:sp>
        <xdr:sp macro="" textlink="">
          <xdr:nvSpPr>
            <xdr:cNvPr id="16" name="Rectangle 15"/>
            <xdr:cNvSpPr/>
          </xdr:nvSpPr>
          <xdr:spPr>
            <a:xfrm>
              <a:off x="1867507" y="5200650"/>
              <a:ext cx="285750" cy="133350"/>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45721</xdr:colOff>
      <xdr:row>6</xdr:row>
      <xdr:rowOff>76200</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8911591" cy="1173480"/>
        </a:xfrm>
        <a:prstGeom prst="rect">
          <a:avLst/>
        </a:prstGeom>
        <a:noFill/>
      </xdr:spPr>
    </xdr:pic>
    <xdr:clientData/>
  </xdr:twoCellAnchor>
  <xdr:twoCellAnchor editAs="oneCell">
    <xdr:from>
      <xdr:col>0</xdr:col>
      <xdr:colOff>66675</xdr:colOff>
      <xdr:row>0</xdr:row>
      <xdr:rowOff>180975</xdr:rowOff>
    </xdr:from>
    <xdr:to>
      <xdr:col>4</xdr:col>
      <xdr:colOff>19050</xdr:colOff>
      <xdr:row>4</xdr:row>
      <xdr:rowOff>180975</xdr:rowOff>
    </xdr:to>
    <xdr:pic>
      <xdr:nvPicPr>
        <xdr:cNvPr id="3" name="Picture 2" descr="FSE logo.gif"/>
        <xdr:cNvPicPr>
          <a:picLocks noChangeAspect="1"/>
        </xdr:cNvPicPr>
      </xdr:nvPicPr>
      <xdr:blipFill>
        <a:blip xmlns:r="http://schemas.openxmlformats.org/officeDocument/2006/relationships" r:embed="rId2"/>
        <a:stretch>
          <a:fillRect/>
        </a:stretch>
      </xdr:blipFill>
      <xdr:spPr>
        <a:xfrm>
          <a:off x="66675" y="180975"/>
          <a:ext cx="3669030" cy="731520"/>
        </a:xfrm>
        <a:prstGeom prst="rect">
          <a:avLst/>
        </a:prstGeom>
      </xdr:spPr>
    </xdr:pic>
    <xdr:clientData/>
  </xdr:twoCellAnchor>
  <xdr:oneCellAnchor>
    <xdr:from>
      <xdr:col>2</xdr:col>
      <xdr:colOff>70484</xdr:colOff>
      <xdr:row>7</xdr:row>
      <xdr:rowOff>133350</xdr:rowOff>
    </xdr:from>
    <xdr:ext cx="7107555" cy="468013"/>
    <xdr:sp macro="" textlink="">
      <xdr:nvSpPr>
        <xdr:cNvPr id="4" name="TextBox 3"/>
        <xdr:cNvSpPr txBox="1"/>
      </xdr:nvSpPr>
      <xdr:spPr>
        <a:xfrm>
          <a:off x="436244" y="1413510"/>
          <a:ext cx="7107555"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2400" b="1"/>
            <a:t>New Deployment | </a:t>
          </a:r>
          <a:r>
            <a:rPr lang="en-US" sz="2400" b="1">
              <a:solidFill>
                <a:schemeClr val="tx1"/>
              </a:solidFill>
              <a:latin typeface="+mn-lt"/>
              <a:ea typeface="+mn-ea"/>
              <a:cs typeface="+mn-cs"/>
            </a:rPr>
            <a:t>Enterprise</a:t>
          </a:r>
          <a:r>
            <a:rPr lang="en-US" sz="2400" b="1" baseline="0"/>
            <a:t> </a:t>
          </a:r>
          <a:r>
            <a:rPr lang="en-US" sz="2400" b="1"/>
            <a:t>Reference Architecture </a:t>
          </a:r>
          <a:endParaRPr lang="en-US" sz="2400" b="1" baseline="0"/>
        </a:p>
      </xdr:txBody>
    </xdr:sp>
    <xdr:clientData/>
  </xdr:oneCellAnchor>
  <xdr:oneCellAnchor>
    <xdr:from>
      <xdr:col>0</xdr:col>
      <xdr:colOff>266700</xdr:colOff>
      <xdr:row>12</xdr:row>
      <xdr:rowOff>47625</xdr:rowOff>
    </xdr:from>
    <xdr:ext cx="8601076" cy="828175"/>
    <xdr:sp macro="" textlink="">
      <xdr:nvSpPr>
        <xdr:cNvPr id="5" name="TextBox 4"/>
        <xdr:cNvSpPr txBox="1"/>
      </xdr:nvSpPr>
      <xdr:spPr>
        <a:xfrm>
          <a:off x="266700" y="2333625"/>
          <a:ext cx="8601076" cy="8281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baseline="0">
              <a:solidFill>
                <a:schemeClr val="tx1"/>
              </a:solidFill>
              <a:latin typeface="+mn-lt"/>
              <a:ea typeface="+mn-ea"/>
              <a:cs typeface="+mn-cs"/>
            </a:rPr>
            <a:t>Step 4: Describe the environment to be supported</a:t>
          </a:r>
          <a:endParaRPr lang="en-US" sz="1800"/>
        </a:p>
        <a:p>
          <a:r>
            <a:rPr lang="en-US" sz="1100" b="0" baseline="0">
              <a:solidFill>
                <a:schemeClr val="tx1"/>
              </a:solidFill>
              <a:latin typeface="+mn-lt"/>
              <a:ea typeface="+mn-ea"/>
              <a:cs typeface="+mn-cs"/>
            </a:rPr>
            <a:t>Specify the number of mailboxes and the user load profile in the fields below.</a:t>
          </a:r>
        </a:p>
        <a:p>
          <a:endParaRPr lang="en-US" sz="1100" b="0" baseline="0">
            <a:solidFill>
              <a:schemeClr val="tx1"/>
            </a:solidFill>
            <a:latin typeface="+mn-lt"/>
            <a:ea typeface="+mn-ea"/>
            <a:cs typeface="+mn-cs"/>
          </a:endParaRPr>
        </a:p>
        <a:p>
          <a:r>
            <a:rPr lang="en-US" sz="1100" b="0" baseline="0">
              <a:solidFill>
                <a:schemeClr val="tx1"/>
              </a:solidFill>
              <a:latin typeface="+mn-lt"/>
              <a:ea typeface="+mn-ea"/>
              <a:cs typeface="+mn-cs"/>
            </a:rPr>
            <a:t>Note the user load profile metrics in the table on the README page. Server data is calculated for you based on your input.</a:t>
          </a:r>
        </a:p>
      </xdr:txBody>
    </xdr:sp>
    <xdr:clientData/>
  </xdr:oneCellAnchor>
  <xdr:twoCellAnchor>
    <xdr:from>
      <xdr:col>1</xdr:col>
      <xdr:colOff>15240</xdr:colOff>
      <xdr:row>34</xdr:row>
      <xdr:rowOff>53340</xdr:rowOff>
    </xdr:from>
    <xdr:to>
      <xdr:col>3</xdr:col>
      <xdr:colOff>876300</xdr:colOff>
      <xdr:row>37</xdr:row>
      <xdr:rowOff>100965</xdr:rowOff>
    </xdr:to>
    <xdr:sp macro="" textlink="">
      <xdr:nvSpPr>
        <xdr:cNvPr id="17" name="Flowchart: Process 16">
          <a:hlinkClick xmlns:r="http://schemas.openxmlformats.org/officeDocument/2006/relationships" r:id="rId3"/>
        </xdr:cNvPr>
        <xdr:cNvSpPr/>
      </xdr:nvSpPr>
      <xdr:spPr>
        <a:xfrm>
          <a:off x="381000" y="6316980"/>
          <a:ext cx="2065020" cy="596265"/>
        </a:xfrm>
        <a:prstGeom prst="flowChartProcess">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rtlCol="0" anchor="ctr"/>
        <a:lstStyle/>
        <a:p>
          <a:pPr algn="ctr"/>
          <a:r>
            <a:rPr lang="en-US" sz="1100" b="1"/>
            <a:t>Go to Next Step:</a:t>
          </a:r>
          <a:r>
            <a:rPr lang="en-US" sz="1100" b="1" baseline="0"/>
            <a:t> </a:t>
          </a:r>
        </a:p>
        <a:p>
          <a:pPr algn="ctr"/>
          <a:r>
            <a:rPr lang="en-US" sz="1100" b="1" baseline="0"/>
            <a:t>Review Calculated Hardware Recommendations</a:t>
          </a:r>
          <a:endParaRPr lang="en-US" sz="1100" b="1"/>
        </a:p>
      </xdr:txBody>
    </xdr:sp>
    <xdr:clientData/>
  </xdr:twoCellAnchor>
  <xdr:twoCellAnchor>
    <xdr:from>
      <xdr:col>0</xdr:col>
      <xdr:colOff>259080</xdr:colOff>
      <xdr:row>5</xdr:row>
      <xdr:rowOff>108587</xdr:rowOff>
    </xdr:from>
    <xdr:to>
      <xdr:col>3</xdr:col>
      <xdr:colOff>255270</xdr:colOff>
      <xdr:row>7</xdr:row>
      <xdr:rowOff>108587</xdr:rowOff>
    </xdr:to>
    <xdr:sp macro="" textlink="">
      <xdr:nvSpPr>
        <xdr:cNvPr id="18" name="Flowchart: Process 17">
          <a:hlinkClick xmlns:r="http://schemas.openxmlformats.org/officeDocument/2006/relationships" r:id="rId4"/>
        </xdr:cNvPr>
        <xdr:cNvSpPr/>
      </xdr:nvSpPr>
      <xdr:spPr>
        <a:xfrm>
          <a:off x="259080" y="1022987"/>
          <a:ext cx="1565910"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1. Start</a:t>
          </a:r>
        </a:p>
      </xdr:txBody>
    </xdr:sp>
    <xdr:clientData/>
  </xdr:twoCellAnchor>
  <xdr:twoCellAnchor>
    <xdr:from>
      <xdr:col>3</xdr:col>
      <xdr:colOff>302894</xdr:colOff>
      <xdr:row>5</xdr:row>
      <xdr:rowOff>108586</xdr:rowOff>
    </xdr:from>
    <xdr:to>
      <xdr:col>3</xdr:col>
      <xdr:colOff>1701926</xdr:colOff>
      <xdr:row>7</xdr:row>
      <xdr:rowOff>108586</xdr:rowOff>
    </xdr:to>
    <xdr:sp macro="" textlink="">
      <xdr:nvSpPr>
        <xdr:cNvPr id="19" name="Flowchart: Process 18">
          <a:hlinkClick xmlns:r="http://schemas.openxmlformats.org/officeDocument/2006/relationships" r:id="rId5"/>
        </xdr:cNvPr>
        <xdr:cNvSpPr/>
      </xdr:nvSpPr>
      <xdr:spPr>
        <a:xfrm>
          <a:off x="1872614" y="102298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2. Scenario</a:t>
          </a:r>
        </a:p>
      </xdr:txBody>
    </xdr:sp>
    <xdr:clientData/>
  </xdr:twoCellAnchor>
  <xdr:twoCellAnchor>
    <xdr:from>
      <xdr:col>3</xdr:col>
      <xdr:colOff>1760219</xdr:colOff>
      <xdr:row>5</xdr:row>
      <xdr:rowOff>108586</xdr:rowOff>
    </xdr:from>
    <xdr:to>
      <xdr:col>5</xdr:col>
      <xdr:colOff>278891</xdr:colOff>
      <xdr:row>7</xdr:row>
      <xdr:rowOff>108586</xdr:rowOff>
    </xdr:to>
    <xdr:sp macro="" textlink="">
      <xdr:nvSpPr>
        <xdr:cNvPr id="20" name="Flowchart: Process 19">
          <a:hlinkClick xmlns:r="http://schemas.openxmlformats.org/officeDocument/2006/relationships" r:id="rId6"/>
        </xdr:cNvPr>
        <xdr:cNvSpPr/>
      </xdr:nvSpPr>
      <xdr:spPr>
        <a:xfrm>
          <a:off x="3329939" y="1022986"/>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3. New ERA </a:t>
          </a:r>
          <a:r>
            <a:rPr lang="en-US" sz="1100" b="1" baseline="0"/>
            <a:t>Settings</a:t>
          </a:r>
          <a:endParaRPr lang="en-US" sz="1100" b="1"/>
        </a:p>
      </xdr:txBody>
    </xdr:sp>
    <xdr:clientData/>
  </xdr:twoCellAnchor>
  <xdr:twoCellAnchor>
    <xdr:from>
      <xdr:col>5</xdr:col>
      <xdr:colOff>337184</xdr:colOff>
      <xdr:row>5</xdr:row>
      <xdr:rowOff>99061</xdr:rowOff>
    </xdr:from>
    <xdr:to>
      <xdr:col>7</xdr:col>
      <xdr:colOff>943736</xdr:colOff>
      <xdr:row>7</xdr:row>
      <xdr:rowOff>99061</xdr:rowOff>
    </xdr:to>
    <xdr:sp macro="" textlink="">
      <xdr:nvSpPr>
        <xdr:cNvPr id="21" name="Flowchart: Process 20">
          <a:hlinkClick xmlns:r="http://schemas.openxmlformats.org/officeDocument/2006/relationships" r:id="rId7"/>
        </xdr:cNvPr>
        <xdr:cNvSpPr/>
      </xdr:nvSpPr>
      <xdr:spPr>
        <a:xfrm>
          <a:off x="4787264" y="1013461"/>
          <a:ext cx="1399032" cy="365760"/>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4.</a:t>
          </a:r>
          <a:r>
            <a:rPr lang="en-US" sz="1100" b="1" baseline="0"/>
            <a:t> </a:t>
          </a:r>
          <a:r>
            <a:rPr lang="en-US" sz="1100" b="1"/>
            <a:t>New</a:t>
          </a:r>
          <a:r>
            <a:rPr lang="en-US" sz="1100" b="1" baseline="0"/>
            <a:t> ERA Environment</a:t>
          </a:r>
          <a:endParaRPr lang="en-US" sz="1100" b="1"/>
        </a:p>
      </xdr:txBody>
    </xdr:sp>
    <xdr:clientData/>
  </xdr:twoCellAnchor>
  <xdr:twoCellAnchor>
    <xdr:from>
      <xdr:col>7</xdr:col>
      <xdr:colOff>1007744</xdr:colOff>
      <xdr:row>5</xdr:row>
      <xdr:rowOff>83820</xdr:rowOff>
    </xdr:from>
    <xdr:to>
      <xdr:col>8</xdr:col>
      <xdr:colOff>556260</xdr:colOff>
      <xdr:row>7</xdr:row>
      <xdr:rowOff>85726</xdr:rowOff>
    </xdr:to>
    <xdr:sp macro="" textlink="">
      <xdr:nvSpPr>
        <xdr:cNvPr id="22" name="Flowchart: Process 21">
          <a:hlinkClick xmlns:r="http://schemas.openxmlformats.org/officeDocument/2006/relationships" r:id="rId8"/>
        </xdr:cNvPr>
        <xdr:cNvSpPr/>
      </xdr:nvSpPr>
      <xdr:spPr>
        <a:xfrm>
          <a:off x="6250304" y="998220"/>
          <a:ext cx="1613536" cy="367666"/>
        </a:xfrm>
        <a:prstGeom prst="flowChartProcess">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b="1"/>
            <a:t>5. New</a:t>
          </a:r>
          <a:r>
            <a:rPr lang="en-US" sz="1100" b="1" baseline="0"/>
            <a:t> ERA Recommendations</a:t>
          </a:r>
          <a:endParaRPr lang="en-US" sz="1100" b="1"/>
        </a:p>
      </xdr:txBody>
    </xdr:sp>
    <xdr:clientData/>
  </xdr:twoCellAnchor>
  <xdr:twoCellAnchor>
    <xdr:from>
      <xdr:col>8</xdr:col>
      <xdr:colOff>295275</xdr:colOff>
      <xdr:row>19</xdr:row>
      <xdr:rowOff>194310</xdr:rowOff>
    </xdr:from>
    <xdr:to>
      <xdr:col>12</xdr:col>
      <xdr:colOff>398145</xdr:colOff>
      <xdr:row>21</xdr:row>
      <xdr:rowOff>59596</xdr:rowOff>
    </xdr:to>
    <xdr:grpSp>
      <xdr:nvGrpSpPr>
        <xdr:cNvPr id="12" name="Group 11"/>
        <xdr:cNvGrpSpPr/>
      </xdr:nvGrpSpPr>
      <xdr:grpSpPr>
        <a:xfrm>
          <a:off x="7677150" y="3813810"/>
          <a:ext cx="2893695" cy="436786"/>
          <a:chOff x="438150" y="4962525"/>
          <a:chExt cx="2857500" cy="436786"/>
        </a:xfrm>
      </xdr:grpSpPr>
      <xdr:sp macro="" textlink="">
        <xdr:nvSpPr>
          <xdr:cNvPr id="13" name="TextBox 12"/>
          <xdr:cNvSpPr txBox="1"/>
        </xdr:nvSpPr>
        <xdr:spPr>
          <a:xfrm>
            <a:off x="438150" y="4962525"/>
            <a:ext cx="263181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Key:</a:t>
            </a:r>
          </a:p>
          <a:p>
            <a:r>
              <a:rPr lang="en-US" sz="1100"/>
              <a:t>Required	Optional	Calculated</a:t>
            </a:r>
          </a:p>
        </xdr:txBody>
      </xdr:sp>
      <xdr:grpSp>
        <xdr:nvGrpSpPr>
          <xdr:cNvPr id="14" name="Group 15"/>
          <xdr:cNvGrpSpPr/>
        </xdr:nvGrpSpPr>
        <xdr:grpSpPr>
          <a:xfrm>
            <a:off x="1123950" y="5200650"/>
            <a:ext cx="2171700" cy="133350"/>
            <a:chOff x="1123950" y="5200650"/>
            <a:chExt cx="2171700" cy="133350"/>
          </a:xfrm>
        </xdr:grpSpPr>
        <xdr:sp macro="" textlink="">
          <xdr:nvSpPr>
            <xdr:cNvPr id="15" name="Rectangle 14"/>
            <xdr:cNvSpPr/>
          </xdr:nvSpPr>
          <xdr:spPr>
            <a:xfrm>
              <a:off x="1123950" y="5200650"/>
              <a:ext cx="285750" cy="133350"/>
            </a:xfrm>
            <a:prstGeom prst="rect">
              <a:avLst/>
            </a:prstGeom>
            <a:ln w="6350"/>
          </xdr:spPr>
          <xdr:style>
            <a:lnRef idx="2">
              <a:schemeClr val="accent2"/>
            </a:lnRef>
            <a:fillRef idx="1">
              <a:schemeClr val="lt1"/>
            </a:fillRef>
            <a:effectRef idx="0">
              <a:schemeClr val="accent2"/>
            </a:effectRef>
            <a:fontRef idx="minor">
              <a:schemeClr val="dk1"/>
            </a:fontRef>
          </xdr:style>
          <xdr:txBody>
            <a:bodyPr rtlCol="0" anchor="ctr"/>
            <a:lstStyle/>
            <a:p>
              <a:pPr algn="ctr"/>
              <a:endParaRPr lang="en-US" sz="1100"/>
            </a:p>
          </xdr:txBody>
        </xdr:sp>
        <xdr:sp macro="" textlink="">
          <xdr:nvSpPr>
            <xdr:cNvPr id="16" name="Rectangle 15"/>
            <xdr:cNvSpPr/>
          </xdr:nvSpPr>
          <xdr:spPr>
            <a:xfrm>
              <a:off x="2019300" y="5200650"/>
              <a:ext cx="285750" cy="133350"/>
            </a:xfrm>
            <a:prstGeom prst="rect">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100"/>
            </a:p>
          </xdr:txBody>
        </xdr:sp>
        <xdr:sp macro="" textlink="">
          <xdr:nvSpPr>
            <xdr:cNvPr id="23" name="Rectangle 22"/>
            <xdr:cNvSpPr/>
          </xdr:nvSpPr>
          <xdr:spPr>
            <a:xfrm>
              <a:off x="3009900" y="5200650"/>
              <a:ext cx="285750" cy="133350"/>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prowesscorp.com/Users/suzuki/AppData/Roaming/Microsoft/Excel/FSE%20Capacity%20Planning%20Tool_DRAFT%2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anding Page"/>
      <sheetName val="Edge Only"/>
      <sheetName val="SRA"/>
      <sheetName val="ERA"/>
      <sheetName val="Values"/>
      <sheetName val="Edge DB Results"/>
      <sheetName val="SRA DB Results"/>
      <sheetName val="ERA DB Results"/>
    </sheetNames>
    <sheetDataSet>
      <sheetData sheetId="0"/>
      <sheetData sheetId="1"/>
      <sheetData sheetId="2"/>
      <sheetData sheetId="3"/>
      <sheetData sheetId="4">
        <row r="3">
          <cell r="A3">
            <v>0</v>
          </cell>
          <cell r="B3" t="str">
            <v>No</v>
          </cell>
          <cell r="D3" t="str">
            <v>No</v>
          </cell>
        </row>
        <row r="4">
          <cell r="A4">
            <v>1</v>
          </cell>
          <cell r="B4" t="str">
            <v>Yes</v>
          </cell>
          <cell r="D4" t="str">
            <v>Yes</v>
          </cell>
        </row>
        <row r="5">
          <cell r="A5">
            <v>3</v>
          </cell>
        </row>
        <row r="6">
          <cell r="A6">
            <v>5</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msexchange.org/articles-tutorials/exchange-server-2007/planning-architecture/exchange-2007-sizing-cheat-sheet.html?printversion" TargetMode="External"/><Relationship Id="rId3" Type="http://schemas.openxmlformats.org/officeDocument/2006/relationships/hyperlink" Target="http://www.specbench.org/cpu2006/results/res2008q4/cpu2006-20081027-05791.html" TargetMode="External"/><Relationship Id="rId7" Type="http://schemas.openxmlformats.org/officeDocument/2006/relationships/hyperlink" Target="http://technet.microsoft.com/en-us/library/bb738142.aspx" TargetMode="External"/><Relationship Id="rId2" Type="http://schemas.openxmlformats.org/officeDocument/2006/relationships/hyperlink" Target="http://www.specbench.org/cpu2006/results/res2008q4/cpu2006-20080929-05417.html" TargetMode="External"/><Relationship Id="rId1" Type="http://schemas.openxmlformats.org/officeDocument/2006/relationships/hyperlink" Target="http://www.specbench.org/cpu2006/results/res2006q3/cpu2006-20060513-00028.html" TargetMode="External"/><Relationship Id="rId6" Type="http://schemas.openxmlformats.org/officeDocument/2006/relationships/hyperlink" Target="http://technet.microsoft.com/en-us/library/aa998636.aspx" TargetMode="External"/><Relationship Id="rId11" Type="http://schemas.openxmlformats.org/officeDocument/2006/relationships/drawing" Target="../drawings/drawing13.xml"/><Relationship Id="rId5" Type="http://schemas.openxmlformats.org/officeDocument/2006/relationships/hyperlink" Target="http://www.specbench.org/cpu2006/results/res2008q4/cpu2006-20080929-05420.html" TargetMode="External"/><Relationship Id="rId10" Type="http://schemas.openxmlformats.org/officeDocument/2006/relationships/printerSettings" Target="../printerSettings/printerSettings11.bin"/><Relationship Id="rId4" Type="http://schemas.openxmlformats.org/officeDocument/2006/relationships/hyperlink" Target="http://www.specbench.org/cpu2006/results/res2008q4/cpu2006-20081013-05602.html" TargetMode="External"/><Relationship Id="rId9" Type="http://schemas.openxmlformats.org/officeDocument/2006/relationships/hyperlink" Target="http://www.microsoft.com/forefront/serversecurity/exchange/en/us/default.aspx"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oleObject" Target="../embeddings/oleObject2.bin"/><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2.vml"/><Relationship Id="rId1" Type="http://schemas.openxmlformats.org/officeDocument/2006/relationships/drawing" Target="../drawings/drawing4.xml"/><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2"/>
  <dimension ref="A1"/>
  <sheetViews>
    <sheetView showGridLines="0" showRowColHeaders="0" tabSelected="1" workbookViewId="0"/>
  </sheetViews>
  <sheetFormatPr defaultColWidth="9.140625" defaultRowHeight="15"/>
  <cols>
    <col min="1" max="16384" width="9.140625" style="1"/>
  </cols>
  <sheetData/>
  <sheetProtection password="C456"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8:U52"/>
  <sheetViews>
    <sheetView showGridLines="0" topLeftCell="A5" workbookViewId="0">
      <selection activeCell="F20" sqref="F20"/>
    </sheetView>
  </sheetViews>
  <sheetFormatPr defaultColWidth="9.140625" defaultRowHeight="15"/>
  <cols>
    <col min="1" max="1" width="5.28515625" style="1" customWidth="1"/>
    <col min="2" max="2" width="2.42578125" style="1" customWidth="1"/>
    <col min="3" max="3" width="36.28515625" style="1" customWidth="1"/>
    <col min="4" max="4" width="2.42578125" style="1" customWidth="1"/>
    <col min="5" max="5" width="10.42578125" style="1" customWidth="1"/>
    <col min="6" max="6" width="6.7109375" style="1" customWidth="1"/>
    <col min="7" max="7" width="2.42578125" style="1" customWidth="1"/>
    <col min="8" max="8" width="37.140625" style="1" customWidth="1"/>
    <col min="9" max="9" width="2.42578125" style="1" customWidth="1"/>
    <col min="10" max="10" width="10.42578125" style="1" customWidth="1"/>
    <col min="11" max="11" width="3.7109375" style="1" customWidth="1"/>
    <col min="12" max="12" width="2.42578125" style="1" customWidth="1"/>
    <col min="13" max="13" width="36.85546875" style="1" customWidth="1"/>
    <col min="14" max="14" width="2.42578125" style="1" customWidth="1"/>
    <col min="15" max="15" width="10.42578125" style="1" customWidth="1"/>
    <col min="16" max="16" width="2.42578125" style="1" customWidth="1"/>
    <col min="17" max="17" width="15.140625" style="1" customWidth="1"/>
    <col min="18" max="18" width="2.42578125" style="1" customWidth="1"/>
    <col min="19" max="16384" width="9.140625" style="1"/>
  </cols>
  <sheetData>
    <row r="8" spans="3:21">
      <c r="U8" s="2"/>
    </row>
    <row r="16" spans="3:21">
      <c r="C16" s="15"/>
      <c r="D16" s="15"/>
      <c r="E16" s="15"/>
      <c r="F16" s="15"/>
      <c r="G16" s="15"/>
      <c r="H16" s="15"/>
      <c r="I16" s="15"/>
      <c r="J16" s="15"/>
      <c r="K16" s="15"/>
      <c r="L16" s="15"/>
      <c r="M16" s="15"/>
      <c r="N16" s="15"/>
      <c r="O16" s="15"/>
      <c r="P16" s="15"/>
      <c r="Q16" s="15"/>
    </row>
    <row r="17" spans="2:21">
      <c r="C17" s="63" t="s">
        <v>162</v>
      </c>
      <c r="D17" s="15"/>
      <c r="I17" s="15"/>
      <c r="J17" s="15"/>
      <c r="K17" s="15"/>
      <c r="L17" s="15"/>
      <c r="M17" s="15"/>
      <c r="N17" s="15"/>
      <c r="O17" s="15"/>
      <c r="P17" s="15"/>
      <c r="Q17" s="15"/>
    </row>
    <row r="18" spans="2:21">
      <c r="D18" s="15"/>
      <c r="E18" s="70" t="s">
        <v>168</v>
      </c>
      <c r="F18" s="70"/>
      <c r="G18" s="34"/>
      <c r="H18" s="34" t="s">
        <v>169</v>
      </c>
      <c r="I18" s="15"/>
      <c r="J18" s="15"/>
      <c r="K18" s="15"/>
      <c r="L18" s="15"/>
      <c r="M18" s="15"/>
      <c r="N18" s="15"/>
      <c r="O18" s="15"/>
      <c r="P18" s="15"/>
      <c r="Q18" s="15"/>
    </row>
    <row r="19" spans="2:21">
      <c r="C19" s="62" t="s">
        <v>161</v>
      </c>
      <c r="D19" s="15"/>
      <c r="E19" s="66">
        <f>Start!D14</f>
        <v>0.75</v>
      </c>
      <c r="F19" s="66"/>
      <c r="G19" s="15"/>
      <c r="H19" s="64">
        <f>Start!F14</f>
        <v>0.75</v>
      </c>
      <c r="I19" s="15"/>
      <c r="J19" s="15"/>
      <c r="K19" s="15"/>
      <c r="L19" s="15"/>
      <c r="M19" s="15"/>
      <c r="N19" s="15"/>
      <c r="O19" s="15"/>
      <c r="P19" s="15"/>
      <c r="Q19" s="15"/>
    </row>
    <row r="20" spans="2:21">
      <c r="C20" s="62" t="s">
        <v>601</v>
      </c>
      <c r="D20" s="15"/>
      <c r="F20" s="69">
        <f>'New ERA Environment'!C21</f>
        <v>1600</v>
      </c>
      <c r="G20" s="15"/>
      <c r="H20" s="15"/>
      <c r="I20" s="15"/>
      <c r="J20" s="15"/>
      <c r="K20" s="15"/>
      <c r="L20" s="15"/>
      <c r="M20" s="15"/>
      <c r="N20" s="15"/>
      <c r="O20" s="15"/>
      <c r="P20" s="15"/>
      <c r="Q20" s="15"/>
    </row>
    <row r="21" spans="2:21">
      <c r="C21" s="62" t="s">
        <v>128</v>
      </c>
      <c r="D21" s="15"/>
      <c r="F21" s="69" t="str">
        <f>Values!AB12</f>
        <v>average</v>
      </c>
      <c r="G21" s="15"/>
      <c r="H21" s="15"/>
      <c r="I21" s="15"/>
      <c r="J21" s="15"/>
      <c r="K21" s="15"/>
      <c r="L21" s="15"/>
      <c r="M21" s="15"/>
      <c r="N21" s="15"/>
      <c r="O21" s="15"/>
      <c r="P21" s="15"/>
      <c r="Q21" s="15"/>
    </row>
    <row r="22" spans="2:21">
      <c r="C22" s="15"/>
      <c r="D22" s="15"/>
      <c r="E22" s="15"/>
      <c r="F22" s="15"/>
      <c r="G22" s="15"/>
      <c r="H22" s="15"/>
      <c r="I22" s="15"/>
      <c r="J22" s="15"/>
      <c r="K22" s="15"/>
      <c r="L22" s="15"/>
      <c r="M22" s="15"/>
      <c r="N22" s="15"/>
      <c r="O22" s="15"/>
      <c r="P22" s="15"/>
      <c r="Q22" s="15"/>
    </row>
    <row r="23" spans="2:21" s="3" customFormat="1" ht="18.75">
      <c r="B23" s="37"/>
      <c r="C23" s="40" t="s">
        <v>6</v>
      </c>
      <c r="D23" s="15"/>
      <c r="E23" s="15"/>
      <c r="F23" s="15"/>
      <c r="G23" s="54"/>
      <c r="H23" s="40" t="s">
        <v>155</v>
      </c>
      <c r="I23" s="15"/>
      <c r="J23" s="15"/>
      <c r="K23" s="15"/>
      <c r="L23" s="53"/>
      <c r="M23" s="40" t="s">
        <v>154</v>
      </c>
      <c r="N23" s="15"/>
      <c r="O23" s="15"/>
      <c r="P23" s="15"/>
      <c r="Q23" s="15"/>
    </row>
    <row r="24" spans="2:21">
      <c r="B24" s="13"/>
      <c r="C24" s="3" t="s">
        <v>156</v>
      </c>
      <c r="D24" s="34"/>
      <c r="E24" s="92">
        <f>Values!M79</f>
        <v>1</v>
      </c>
      <c r="F24" s="78"/>
      <c r="G24" s="55"/>
      <c r="H24" s="3" t="s">
        <v>156</v>
      </c>
      <c r="I24" s="34"/>
      <c r="J24" s="92">
        <f>Values!S103</f>
        <v>1</v>
      </c>
      <c r="K24" s="78"/>
      <c r="L24" s="60"/>
      <c r="M24" s="3" t="s">
        <v>156</v>
      </c>
      <c r="N24" s="34"/>
      <c r="O24" s="92">
        <f>Values!X103</f>
        <v>1</v>
      </c>
    </row>
    <row r="25" spans="2:21">
      <c r="B25" s="13"/>
      <c r="C25" s="21"/>
      <c r="D25" s="15"/>
      <c r="E25" s="82"/>
      <c r="F25" s="91"/>
      <c r="G25" s="54"/>
      <c r="H25" s="21"/>
      <c r="I25" s="15"/>
      <c r="J25" s="82"/>
      <c r="K25" s="91"/>
      <c r="L25" s="53"/>
      <c r="M25" s="21"/>
      <c r="N25" s="15"/>
      <c r="O25" s="82"/>
    </row>
    <row r="26" spans="2:21">
      <c r="B26" s="38"/>
      <c r="C26" s="21" t="s">
        <v>157</v>
      </c>
      <c r="D26" s="15"/>
      <c r="E26" s="83"/>
      <c r="F26" s="128"/>
      <c r="G26" s="56"/>
      <c r="H26" s="21" t="s">
        <v>157</v>
      </c>
      <c r="I26" s="15"/>
      <c r="J26" s="83"/>
      <c r="K26" s="128"/>
      <c r="L26" s="61"/>
      <c r="M26" s="21" t="s">
        <v>157</v>
      </c>
      <c r="N26" s="15"/>
      <c r="O26" s="83"/>
    </row>
    <row r="27" spans="2:21">
      <c r="B27" s="13"/>
      <c r="C27" s="48" t="s">
        <v>602</v>
      </c>
      <c r="E27" s="93" t="s">
        <v>559</v>
      </c>
      <c r="F27" s="91"/>
      <c r="G27" s="54"/>
      <c r="H27" s="48" t="s">
        <v>602</v>
      </c>
      <c r="J27" s="93" t="s">
        <v>559</v>
      </c>
      <c r="K27" s="91"/>
      <c r="L27" s="53"/>
      <c r="M27" s="48" t="s">
        <v>602</v>
      </c>
      <c r="O27" s="93" t="s">
        <v>559</v>
      </c>
      <c r="P27" s="5"/>
      <c r="Q27" s="5"/>
      <c r="R27" s="5"/>
      <c r="S27" s="5"/>
      <c r="T27" s="5"/>
      <c r="U27" s="5"/>
    </row>
    <row r="28" spans="2:21" s="19" customFormat="1">
      <c r="B28" s="13"/>
      <c r="C28" s="49" t="s">
        <v>570</v>
      </c>
      <c r="D28" s="1"/>
      <c r="E28" s="93">
        <f>Values!N84</f>
        <v>4</v>
      </c>
      <c r="F28" s="91"/>
      <c r="G28" s="54"/>
      <c r="H28" s="49" t="s">
        <v>570</v>
      </c>
      <c r="I28" s="1"/>
      <c r="J28" s="93">
        <f>Values!T108</f>
        <v>12</v>
      </c>
      <c r="K28" s="91"/>
      <c r="L28" s="53"/>
      <c r="M28" s="49" t="s">
        <v>570</v>
      </c>
      <c r="N28" s="1"/>
      <c r="O28" s="93">
        <f>Values!Y107</f>
        <v>4</v>
      </c>
    </row>
    <row r="29" spans="2:21">
      <c r="B29" s="39"/>
      <c r="C29" s="3"/>
      <c r="E29" s="82"/>
      <c r="F29" s="91"/>
      <c r="G29" s="57"/>
      <c r="H29" s="3"/>
      <c r="J29" s="82"/>
      <c r="K29" s="91"/>
      <c r="L29" s="52"/>
      <c r="M29" s="3"/>
      <c r="O29" s="82"/>
    </row>
    <row r="30" spans="2:21">
      <c r="B30" s="39"/>
      <c r="C30" s="21" t="s">
        <v>158</v>
      </c>
      <c r="E30" s="82"/>
      <c r="F30" s="91"/>
      <c r="G30" s="57"/>
      <c r="H30" s="21" t="s">
        <v>158</v>
      </c>
      <c r="J30" s="82"/>
      <c r="K30" s="91"/>
      <c r="L30" s="52"/>
      <c r="M30" s="21" t="s">
        <v>158</v>
      </c>
      <c r="O30" s="82"/>
    </row>
    <row r="31" spans="2:21">
      <c r="B31" s="39"/>
      <c r="C31" s="49" t="s">
        <v>160</v>
      </c>
      <c r="E31" s="93">
        <f>F20/E24</f>
        <v>1600</v>
      </c>
      <c r="F31" s="91"/>
      <c r="G31" s="57"/>
      <c r="H31" s="49" t="s">
        <v>160</v>
      </c>
      <c r="J31" s="94">
        <f>F20/J24</f>
        <v>1600</v>
      </c>
      <c r="K31" s="91"/>
      <c r="L31" s="52"/>
      <c r="M31" s="49" t="s">
        <v>160</v>
      </c>
      <c r="O31" s="93">
        <f>F20/O24</f>
        <v>1600</v>
      </c>
      <c r="P31" s="3"/>
    </row>
    <row r="32" spans="2:21" s="6" customFormat="1">
      <c r="B32" s="39"/>
      <c r="C32" s="49" t="s">
        <v>159</v>
      </c>
      <c r="D32" s="1"/>
      <c r="E32" s="145">
        <f>Values!M88</f>
        <v>7.5707268683630521E-2</v>
      </c>
      <c r="F32" s="129"/>
      <c r="G32" s="57"/>
      <c r="H32" s="49" t="s">
        <v>159</v>
      </c>
      <c r="I32" s="1"/>
      <c r="J32" s="145">
        <f>Values!S110</f>
        <v>0.38986696000000004</v>
      </c>
      <c r="K32" s="129"/>
      <c r="L32" s="52"/>
      <c r="M32" s="49" t="s">
        <v>159</v>
      </c>
      <c r="N32" s="1"/>
      <c r="O32" s="145">
        <f>Values!X110</f>
        <v>6.7551600000000003E-2</v>
      </c>
      <c r="P32" s="1"/>
      <c r="Q32" s="1"/>
    </row>
    <row r="33" spans="1:21">
      <c r="B33" s="39"/>
      <c r="C33" s="49" t="s">
        <v>571</v>
      </c>
      <c r="E33" s="145">
        <f>Values!N88</f>
        <v>0.62650479668821635</v>
      </c>
      <c r="F33" s="129"/>
      <c r="G33" s="57"/>
      <c r="H33" s="49" t="s">
        <v>571</v>
      </c>
      <c r="J33" s="145">
        <f>Values!T109</f>
        <v>0.73750392415364585</v>
      </c>
      <c r="K33" s="129"/>
      <c r="L33" s="52"/>
      <c r="M33" s="49" t="s">
        <v>571</v>
      </c>
      <c r="O33" s="145">
        <f>Values!Y108</f>
        <v>0.54812871582031253</v>
      </c>
    </row>
    <row r="34" spans="1:21">
      <c r="B34" s="39"/>
      <c r="C34" s="160" t="s">
        <v>611</v>
      </c>
      <c r="D34" s="163"/>
      <c r="E34" s="163"/>
      <c r="F34" s="163"/>
      <c r="G34" s="57"/>
      <c r="L34" s="52"/>
    </row>
    <row r="35" spans="1:21">
      <c r="C35" s="163"/>
      <c r="D35" s="163"/>
      <c r="E35" s="163"/>
      <c r="F35" s="163"/>
      <c r="H35" s="162" t="str">
        <f>IF(Values!X5=2,"NOTE: Background Scanning significantly increases server utilization. CPU, in particular, is increased significantly when Background Scanning is enabled."," ")</f>
        <v xml:space="preserve"> </v>
      </c>
      <c r="I35" s="159"/>
      <c r="J35" s="159"/>
      <c r="K35" s="159"/>
      <c r="L35" s="159"/>
      <c r="M35" s="159"/>
    </row>
    <row r="36" spans="1:21">
      <c r="C36" s="163"/>
      <c r="D36" s="163"/>
      <c r="E36" s="163"/>
      <c r="F36" s="163"/>
      <c r="H36" s="159"/>
      <c r="I36" s="159"/>
      <c r="J36" s="159"/>
      <c r="K36" s="159"/>
      <c r="L36" s="159"/>
      <c r="M36" s="159"/>
    </row>
    <row r="37" spans="1:21">
      <c r="C37" s="163"/>
      <c r="D37" s="163"/>
      <c r="E37" s="163"/>
      <c r="F37" s="163"/>
      <c r="H37" s="1" t="s">
        <v>86</v>
      </c>
      <c r="L37" s="19"/>
    </row>
    <row r="38" spans="1:21">
      <c r="L38" s="19"/>
      <c r="M38"/>
    </row>
    <row r="40" spans="1:21">
      <c r="A40" s="5"/>
      <c r="B40" s="5"/>
      <c r="C40" s="5"/>
      <c r="D40" s="5"/>
      <c r="E40" s="5"/>
      <c r="F40" s="5"/>
      <c r="G40" s="5"/>
      <c r="H40" s="5"/>
      <c r="I40" s="5"/>
      <c r="J40" s="5"/>
      <c r="K40" s="5"/>
      <c r="L40" s="5"/>
      <c r="N40" s="5"/>
      <c r="O40" s="5"/>
      <c r="P40" s="5"/>
      <c r="Q40" s="5"/>
      <c r="R40" s="5"/>
      <c r="S40" s="5"/>
      <c r="T40" s="5"/>
      <c r="U40" s="5"/>
    </row>
    <row r="41" spans="1:21">
      <c r="H41" s="4"/>
      <c r="I41" s="5"/>
      <c r="J41" s="17"/>
      <c r="K41" s="17"/>
      <c r="L41" s="4"/>
      <c r="P41" s="5"/>
      <c r="Q41" s="5"/>
      <c r="R41" s="5"/>
      <c r="S41" s="5"/>
      <c r="T41" s="5"/>
      <c r="U41" s="5"/>
    </row>
    <row r="42" spans="1:21">
      <c r="I42" s="5"/>
      <c r="J42" s="5"/>
      <c r="K42" s="5"/>
      <c r="S42" s="1" t="s">
        <v>86</v>
      </c>
      <c r="U42" s="18"/>
    </row>
    <row r="47" spans="1:21">
      <c r="C47" s="5"/>
      <c r="D47" s="5"/>
      <c r="E47" s="5"/>
      <c r="F47" s="5"/>
      <c r="G47" s="5"/>
      <c r="H47" s="5"/>
      <c r="I47" s="5"/>
      <c r="J47" s="5"/>
      <c r="K47" s="5"/>
      <c r="L47" s="5"/>
      <c r="M47" s="5"/>
      <c r="N47" s="5"/>
      <c r="O47" s="5"/>
      <c r="P47" s="5"/>
      <c r="Q47" s="5"/>
    </row>
    <row r="48" spans="1:21">
      <c r="C48" s="5"/>
      <c r="D48" s="5"/>
      <c r="E48" s="157"/>
      <c r="F48" s="125"/>
      <c r="G48" s="5"/>
      <c r="H48" s="155"/>
      <c r="I48" s="155"/>
      <c r="J48" s="155"/>
      <c r="K48" s="124"/>
      <c r="L48" s="5"/>
      <c r="M48" s="156"/>
      <c r="N48" s="156"/>
      <c r="O48" s="156"/>
      <c r="P48" s="156"/>
      <c r="Q48" s="156"/>
    </row>
    <row r="49" spans="3:17">
      <c r="C49" s="5"/>
      <c r="D49" s="5"/>
      <c r="E49" s="157"/>
      <c r="F49" s="125"/>
      <c r="G49" s="5"/>
      <c r="H49" s="5"/>
      <c r="I49" s="5"/>
      <c r="J49" s="5"/>
      <c r="K49" s="5"/>
      <c r="L49" s="5"/>
      <c r="M49" s="5"/>
      <c r="N49" s="5"/>
      <c r="O49" s="5"/>
      <c r="P49" s="5"/>
      <c r="Q49" s="5"/>
    </row>
    <row r="50" spans="3:17">
      <c r="C50" s="5"/>
      <c r="D50" s="5"/>
      <c r="E50" s="5"/>
      <c r="F50" s="5"/>
      <c r="G50" s="5"/>
      <c r="H50" s="5"/>
      <c r="I50" s="5"/>
      <c r="J50" s="5"/>
      <c r="K50" s="5"/>
      <c r="L50" s="5"/>
      <c r="M50" s="5"/>
      <c r="N50" s="5"/>
      <c r="O50" s="5"/>
      <c r="P50" s="5"/>
      <c r="Q50" s="5"/>
    </row>
    <row r="51" spans="3:17">
      <c r="C51" s="5"/>
      <c r="D51" s="5"/>
      <c r="E51" s="5"/>
      <c r="F51" s="5"/>
      <c r="G51" s="5"/>
      <c r="H51" s="5"/>
      <c r="I51" s="5"/>
      <c r="J51" s="5"/>
      <c r="K51" s="5"/>
      <c r="L51" s="5"/>
      <c r="M51" s="5"/>
      <c r="N51" s="5"/>
      <c r="O51" s="5"/>
      <c r="P51" s="5"/>
      <c r="Q51" s="5"/>
    </row>
    <row r="52" spans="3:17">
      <c r="C52" s="5"/>
      <c r="D52" s="5"/>
      <c r="E52" s="5"/>
      <c r="F52" s="5"/>
      <c r="G52" s="5"/>
      <c r="H52" s="5"/>
      <c r="I52" s="5"/>
      <c r="J52" s="5"/>
      <c r="K52" s="5"/>
      <c r="L52" s="5"/>
      <c r="M52" s="5"/>
      <c r="N52" s="5"/>
      <c r="O52" s="5"/>
      <c r="P52" s="5"/>
      <c r="Q52" s="5"/>
    </row>
  </sheetData>
  <sheetProtection password="C456" sheet="1" objects="1" scenarios="1"/>
  <mergeCells count="5">
    <mergeCell ref="E48:E49"/>
    <mergeCell ref="H48:J48"/>
    <mergeCell ref="M48:Q48"/>
    <mergeCell ref="H35:M36"/>
    <mergeCell ref="C34:F37"/>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8:R52"/>
  <sheetViews>
    <sheetView showGridLines="0" showRowColHeaders="0" workbookViewId="0"/>
  </sheetViews>
  <sheetFormatPr defaultColWidth="9.140625" defaultRowHeight="15"/>
  <cols>
    <col min="1" max="1" width="5.28515625" style="1" customWidth="1"/>
    <col min="2" max="2" width="15.140625" style="1" customWidth="1"/>
    <col min="3" max="3" width="2.42578125" style="1" customWidth="1"/>
    <col min="4" max="4" width="33.7109375" style="1" customWidth="1"/>
    <col min="5" max="5" width="2.42578125" style="1" customWidth="1"/>
    <col min="6" max="6" width="16" style="1" customWidth="1"/>
    <col min="7" max="7" width="2.42578125" style="1" customWidth="1"/>
    <col min="8" max="8" width="37" style="1" customWidth="1"/>
    <col min="9" max="9" width="2.42578125" style="1" customWidth="1"/>
    <col min="10" max="10" width="34.28515625" style="1" customWidth="1"/>
    <col min="11" max="11" width="2.42578125" style="1" customWidth="1"/>
    <col min="12" max="12" width="15.140625" style="1" customWidth="1"/>
    <col min="13" max="13" width="2.42578125" style="1" customWidth="1"/>
    <col min="14" max="14" width="15.140625" style="1" customWidth="1"/>
    <col min="15" max="15" width="2.42578125" style="1" customWidth="1"/>
    <col min="16" max="16384" width="9.140625" style="1"/>
  </cols>
  <sheetData>
    <row r="8" spans="2:18">
      <c r="R8" s="2"/>
    </row>
    <row r="16" spans="2:18">
      <c r="B16" s="15"/>
      <c r="C16" s="15"/>
      <c r="E16" s="15"/>
      <c r="F16" s="15"/>
      <c r="G16" s="15"/>
      <c r="H16" s="15"/>
      <c r="I16" s="15"/>
      <c r="J16" s="15"/>
      <c r="K16" s="15"/>
      <c r="L16" s="15"/>
      <c r="M16" s="15"/>
      <c r="N16" s="15"/>
    </row>
    <row r="17" spans="2:18">
      <c r="C17" s="15"/>
      <c r="I17" s="15"/>
      <c r="J17" s="15"/>
      <c r="K17" s="15"/>
      <c r="L17" s="15"/>
      <c r="M17" s="15"/>
      <c r="N17" s="15"/>
    </row>
    <row r="18" spans="2:18">
      <c r="C18" s="15"/>
      <c r="D18" s="33"/>
      <c r="I18" s="15"/>
      <c r="J18" s="15"/>
      <c r="K18" s="15"/>
      <c r="L18" s="15"/>
      <c r="M18" s="15"/>
      <c r="N18" s="15"/>
    </row>
    <row r="19" spans="2:18">
      <c r="C19" s="15"/>
      <c r="E19" s="15"/>
      <c r="F19" s="70"/>
      <c r="G19" s="16"/>
      <c r="H19" s="34"/>
      <c r="I19" s="15"/>
      <c r="J19" s="15"/>
      <c r="K19" s="15"/>
      <c r="L19" s="15"/>
      <c r="M19" s="15"/>
      <c r="N19" s="15"/>
    </row>
    <row r="20" spans="2:18">
      <c r="C20" s="15"/>
      <c r="E20" s="25"/>
      <c r="F20" s="15"/>
      <c r="G20" s="15"/>
      <c r="H20" s="15"/>
      <c r="I20" s="15"/>
      <c r="J20" s="15"/>
      <c r="K20" s="15"/>
      <c r="L20" s="15"/>
      <c r="M20" s="15"/>
      <c r="N20" s="15"/>
    </row>
    <row r="21" spans="2:18">
      <c r="B21" s="15"/>
      <c r="C21" s="15"/>
      <c r="E21" s="62"/>
      <c r="F21" s="15"/>
      <c r="G21" s="15"/>
      <c r="H21" s="15"/>
      <c r="I21" s="15"/>
      <c r="J21" s="15"/>
      <c r="K21" s="15"/>
      <c r="L21" s="15"/>
      <c r="M21" s="15"/>
      <c r="N21" s="15"/>
    </row>
    <row r="22" spans="2:18">
      <c r="B22" s="15"/>
      <c r="C22" s="15"/>
      <c r="E22" s="62"/>
      <c r="F22" s="15"/>
      <c r="G22" s="15"/>
      <c r="H22" s="15"/>
      <c r="I22" s="15"/>
      <c r="J22" s="15"/>
      <c r="K22" s="15"/>
      <c r="L22" s="15"/>
      <c r="M22" s="15"/>
      <c r="N22" s="15"/>
    </row>
    <row r="23" spans="2:18" s="3" customFormat="1">
      <c r="B23" s="15"/>
      <c r="D23" s="15"/>
      <c r="E23" s="15"/>
      <c r="F23" s="70"/>
      <c r="G23" s="71"/>
      <c r="H23" s="34"/>
      <c r="M23" s="15"/>
      <c r="N23" s="15"/>
    </row>
    <row r="24" spans="2:18">
      <c r="B24" s="15"/>
      <c r="D24" s="15"/>
      <c r="E24" s="62"/>
      <c r="F24" s="15"/>
      <c r="G24" s="15"/>
      <c r="H24" s="15"/>
    </row>
    <row r="25" spans="2:18">
      <c r="B25" s="33"/>
      <c r="D25" s="3"/>
      <c r="E25" s="3"/>
      <c r="F25" s="3"/>
      <c r="G25" s="3"/>
      <c r="H25" s="3"/>
    </row>
    <row r="26" spans="2:18">
      <c r="B26" s="20"/>
    </row>
    <row r="27" spans="2:18">
      <c r="B27" s="33"/>
      <c r="M27" s="5"/>
      <c r="N27" s="5"/>
      <c r="O27" s="5"/>
      <c r="P27" s="5"/>
      <c r="Q27" s="5"/>
      <c r="R27" s="5"/>
    </row>
    <row r="28" spans="2:18" s="19" customFormat="1">
      <c r="B28" s="33"/>
    </row>
    <row r="29" spans="2:18" ht="18.75">
      <c r="B29" s="19"/>
      <c r="C29" s="31"/>
      <c r="D29" s="131"/>
      <c r="E29" s="15"/>
      <c r="F29" s="15"/>
      <c r="G29" s="15"/>
      <c r="H29" s="131"/>
      <c r="I29" s="15"/>
      <c r="J29" s="15"/>
    </row>
    <row r="30" spans="2:18">
      <c r="B30" s="19"/>
      <c r="C30" s="15"/>
      <c r="D30" s="31"/>
      <c r="E30" s="34"/>
      <c r="F30" s="34"/>
      <c r="G30" s="34"/>
      <c r="H30" s="31"/>
      <c r="I30" s="34"/>
      <c r="J30" s="34"/>
    </row>
    <row r="31" spans="2:18">
      <c r="B31" s="19"/>
      <c r="C31" s="15"/>
      <c r="D31" s="132"/>
      <c r="E31" s="15"/>
      <c r="F31" s="19"/>
      <c r="G31" s="15"/>
      <c r="H31" s="132"/>
      <c r="I31" s="15"/>
      <c r="J31" s="19"/>
      <c r="M31" s="3"/>
    </row>
    <row r="32" spans="2:18" s="6" customFormat="1">
      <c r="B32" s="19"/>
      <c r="C32" s="20"/>
      <c r="D32" s="132"/>
      <c r="E32" s="15"/>
      <c r="F32" s="25"/>
      <c r="G32" s="20"/>
      <c r="H32" s="132"/>
      <c r="I32" s="15"/>
      <c r="J32" s="25"/>
      <c r="M32" s="1"/>
      <c r="N32" s="1"/>
    </row>
    <row r="33" spans="1:18">
      <c r="B33" s="19"/>
      <c r="C33" s="15"/>
      <c r="D33" s="133"/>
      <c r="E33" s="19"/>
      <c r="F33" s="19"/>
      <c r="G33" s="15"/>
      <c r="H33" s="133"/>
      <c r="I33" s="19"/>
      <c r="J33" s="19"/>
    </row>
    <row r="34" spans="1:18">
      <c r="B34" s="19"/>
      <c r="C34" s="15"/>
      <c r="D34" s="134"/>
      <c r="E34" s="19"/>
      <c r="F34" s="19"/>
      <c r="G34" s="15"/>
      <c r="H34" s="134"/>
      <c r="I34" s="19"/>
      <c r="J34" s="19"/>
    </row>
    <row r="35" spans="1:18">
      <c r="B35" s="19"/>
      <c r="C35" s="19"/>
      <c r="D35" s="31"/>
      <c r="E35" s="19"/>
      <c r="F35" s="19"/>
      <c r="G35" s="19"/>
      <c r="H35" s="31"/>
      <c r="I35" s="19"/>
      <c r="J35" s="19"/>
    </row>
    <row r="36" spans="1:18">
      <c r="B36" s="19"/>
      <c r="C36" s="19"/>
      <c r="D36" s="132"/>
      <c r="E36" s="19"/>
      <c r="F36" s="19"/>
      <c r="G36" s="19"/>
      <c r="H36" s="132"/>
      <c r="I36" s="19"/>
      <c r="J36" s="19"/>
    </row>
    <row r="37" spans="1:18">
      <c r="B37" s="19"/>
      <c r="C37" s="19"/>
      <c r="D37" s="134"/>
      <c r="E37" s="19"/>
      <c r="F37" s="19"/>
      <c r="G37" s="19"/>
      <c r="H37" s="134"/>
      <c r="I37" s="19"/>
      <c r="J37" s="19"/>
    </row>
    <row r="38" spans="1:18">
      <c r="B38" s="19"/>
      <c r="C38" s="19"/>
      <c r="D38" s="134"/>
      <c r="E38" s="19"/>
      <c r="F38" s="19"/>
      <c r="G38" s="19"/>
      <c r="H38" s="134"/>
      <c r="I38" s="19"/>
      <c r="J38" s="19"/>
    </row>
    <row r="39" spans="1:18">
      <c r="B39" s="19"/>
      <c r="C39" s="19"/>
      <c r="D39" s="134"/>
      <c r="E39" s="19"/>
      <c r="F39" s="19"/>
      <c r="G39" s="19"/>
      <c r="H39" s="134"/>
      <c r="I39" s="19"/>
      <c r="J39" s="19"/>
    </row>
    <row r="40" spans="1:18">
      <c r="A40" s="5"/>
      <c r="B40" s="15"/>
      <c r="C40" s="19"/>
      <c r="D40" s="19"/>
      <c r="E40" s="19"/>
      <c r="F40" s="19"/>
      <c r="G40" s="19"/>
      <c r="H40" s="19"/>
      <c r="I40" s="19"/>
      <c r="J40" s="19"/>
      <c r="K40" s="5"/>
      <c r="L40" s="5"/>
      <c r="M40" s="5"/>
      <c r="N40" s="5"/>
      <c r="O40" s="5"/>
      <c r="P40" s="5"/>
      <c r="Q40" s="5"/>
      <c r="R40" s="5"/>
    </row>
    <row r="41" spans="1:18">
      <c r="F41" s="4"/>
      <c r="G41" s="5"/>
      <c r="H41" s="17"/>
      <c r="I41" s="4"/>
      <c r="M41" s="5"/>
      <c r="N41" s="5"/>
      <c r="O41" s="5"/>
      <c r="P41" s="5"/>
      <c r="Q41" s="5"/>
      <c r="R41" s="5"/>
    </row>
    <row r="42" spans="1:18">
      <c r="G42" s="5"/>
      <c r="H42" s="5"/>
      <c r="P42" s="1" t="s">
        <v>86</v>
      </c>
      <c r="R42" s="18"/>
    </row>
    <row r="47" spans="1:18">
      <c r="B47" s="5"/>
      <c r="C47" s="5"/>
      <c r="D47" s="5"/>
      <c r="E47" s="5"/>
      <c r="F47" s="5"/>
      <c r="G47" s="5"/>
      <c r="H47" s="5"/>
      <c r="I47" s="5"/>
      <c r="J47" s="5"/>
      <c r="K47" s="5"/>
      <c r="L47" s="5"/>
      <c r="M47" s="5"/>
      <c r="N47" s="5"/>
    </row>
    <row r="48" spans="1:18">
      <c r="B48" s="5"/>
      <c r="C48" s="5"/>
      <c r="D48" s="157"/>
      <c r="E48" s="5"/>
      <c r="F48" s="155"/>
      <c r="G48" s="155"/>
      <c r="H48" s="155"/>
      <c r="I48" s="5"/>
      <c r="J48" s="156"/>
      <c r="K48" s="156"/>
      <c r="L48" s="156"/>
      <c r="M48" s="156"/>
      <c r="N48" s="156"/>
    </row>
    <row r="49" spans="2:14">
      <c r="B49" s="5"/>
      <c r="C49" s="5"/>
      <c r="D49" s="157"/>
      <c r="E49" s="5"/>
      <c r="F49" s="5"/>
      <c r="G49" s="5"/>
      <c r="H49" s="5"/>
      <c r="I49" s="5"/>
      <c r="J49" s="5"/>
      <c r="K49" s="5"/>
      <c r="L49" s="5"/>
      <c r="M49" s="5"/>
      <c r="N49" s="5"/>
    </row>
    <row r="50" spans="2:14">
      <c r="B50" s="5"/>
      <c r="C50" s="5"/>
      <c r="D50" s="5"/>
      <c r="E50" s="5"/>
      <c r="F50" s="5"/>
      <c r="G50" s="5"/>
      <c r="H50" s="5"/>
      <c r="I50" s="5"/>
      <c r="J50" s="5"/>
      <c r="K50" s="5"/>
      <c r="L50" s="5"/>
      <c r="M50" s="5"/>
      <c r="N50" s="5"/>
    </row>
    <row r="51" spans="2:14">
      <c r="B51" s="5"/>
      <c r="C51" s="5"/>
      <c r="D51" s="5"/>
      <c r="E51" s="5"/>
      <c r="F51" s="5"/>
      <c r="G51" s="5"/>
      <c r="H51" s="5"/>
      <c r="I51" s="5"/>
      <c r="J51" s="5"/>
      <c r="K51" s="5"/>
      <c r="L51" s="5"/>
      <c r="M51" s="5"/>
      <c r="N51" s="5"/>
    </row>
    <row r="52" spans="2:14">
      <c r="B52" s="5"/>
      <c r="C52" s="5"/>
      <c r="D52" s="5"/>
      <c r="E52" s="5"/>
      <c r="F52" s="5"/>
      <c r="G52" s="5"/>
      <c r="H52" s="5"/>
      <c r="I52" s="5"/>
      <c r="J52" s="5"/>
      <c r="K52" s="5"/>
      <c r="L52" s="5"/>
      <c r="M52" s="5"/>
      <c r="N52" s="5"/>
    </row>
  </sheetData>
  <sheetProtection password="C456" sheet="1" objects="1" scenarios="1"/>
  <mergeCells count="3">
    <mergeCell ref="D48:D49"/>
    <mergeCell ref="F48:H48"/>
    <mergeCell ref="J48:N48"/>
  </mergeCell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dimension ref="A8:S52"/>
  <sheetViews>
    <sheetView showGridLines="0" showRowColHeaders="0" workbookViewId="0"/>
  </sheetViews>
  <sheetFormatPr defaultColWidth="9.140625" defaultRowHeight="15"/>
  <cols>
    <col min="1" max="1" width="5.28515625" style="1" customWidth="1"/>
    <col min="2" max="2" width="2.42578125" style="1" customWidth="1"/>
    <col min="3" max="3" width="33.42578125" style="1" customWidth="1"/>
    <col min="4" max="4" width="2.42578125" style="1" customWidth="1"/>
    <col min="5" max="5" width="10.42578125" style="1" customWidth="1"/>
    <col min="6" max="6" width="2.42578125" style="1" customWidth="1"/>
    <col min="7" max="7" width="34.7109375" style="1" customWidth="1"/>
    <col min="8" max="8" width="2.42578125" style="1" customWidth="1"/>
    <col min="9" max="9" width="10.42578125" style="1" customWidth="1"/>
    <col min="10" max="10" width="2.42578125" style="1" customWidth="1"/>
    <col min="11" max="11" width="34.28515625" style="1" customWidth="1"/>
    <col min="12" max="12" width="2.42578125" style="1" customWidth="1"/>
    <col min="13" max="13" width="10.42578125" style="1" customWidth="1"/>
    <col min="14" max="14" width="2.42578125" style="1" customWidth="1"/>
    <col min="15" max="15" width="15.140625" style="1" customWidth="1"/>
    <col min="16" max="16" width="2.42578125" style="1" customWidth="1"/>
    <col min="17" max="16384" width="9.140625" style="1"/>
  </cols>
  <sheetData>
    <row r="8" spans="3:19">
      <c r="S8" s="2"/>
    </row>
    <row r="16" spans="3:19">
      <c r="C16" s="15"/>
      <c r="D16" s="15"/>
      <c r="E16" s="15"/>
      <c r="F16" s="15"/>
      <c r="G16" s="15"/>
      <c r="H16" s="15"/>
      <c r="I16" s="15"/>
      <c r="J16" s="15"/>
      <c r="K16" s="15"/>
      <c r="L16" s="15"/>
      <c r="M16" s="15"/>
      <c r="N16" s="15"/>
      <c r="O16" s="15"/>
    </row>
    <row r="17" spans="2:19">
      <c r="C17" s="63"/>
      <c r="D17" s="15"/>
      <c r="E17" s="15"/>
      <c r="F17" s="15"/>
      <c r="G17" s="15"/>
      <c r="H17" s="15"/>
      <c r="I17" s="15"/>
      <c r="J17" s="15"/>
      <c r="K17" s="15"/>
      <c r="L17" s="15"/>
      <c r="M17" s="15"/>
      <c r="N17" s="15"/>
      <c r="O17" s="15"/>
    </row>
    <row r="18" spans="2:19">
      <c r="C18" s="62"/>
      <c r="D18" s="15"/>
      <c r="F18" s="15"/>
      <c r="G18" s="15"/>
      <c r="H18" s="15"/>
      <c r="I18" s="15"/>
      <c r="J18" s="15"/>
      <c r="K18" s="15"/>
      <c r="L18" s="15"/>
      <c r="M18" s="15"/>
      <c r="N18" s="15"/>
      <c r="O18" s="15"/>
    </row>
    <row r="19" spans="2:19">
      <c r="C19" s="62"/>
      <c r="D19" s="15"/>
      <c r="F19" s="15"/>
      <c r="G19" s="15"/>
      <c r="H19" s="15"/>
      <c r="I19" s="15"/>
      <c r="J19" s="15"/>
      <c r="K19" s="15"/>
      <c r="L19" s="15"/>
      <c r="M19" s="15"/>
      <c r="N19" s="15"/>
      <c r="O19" s="15"/>
    </row>
    <row r="20" spans="2:19">
      <c r="C20" s="62"/>
      <c r="D20" s="15"/>
      <c r="F20" s="15"/>
      <c r="G20" s="15"/>
      <c r="H20" s="15"/>
      <c r="I20" s="15"/>
      <c r="J20" s="15"/>
      <c r="K20" s="15"/>
      <c r="L20" s="15"/>
      <c r="M20" s="15"/>
      <c r="N20" s="15"/>
      <c r="O20" s="15"/>
    </row>
    <row r="21" spans="2:19">
      <c r="C21" s="15"/>
      <c r="D21" s="15"/>
      <c r="E21" s="15"/>
      <c r="F21" s="15"/>
      <c r="G21" s="15"/>
      <c r="H21" s="15"/>
      <c r="I21" s="15"/>
      <c r="J21" s="15"/>
      <c r="K21" s="15"/>
      <c r="L21" s="15"/>
      <c r="M21" s="15"/>
      <c r="N21" s="15"/>
      <c r="O21" s="15"/>
    </row>
    <row r="22" spans="2:19">
      <c r="C22" s="15"/>
      <c r="D22" s="15"/>
      <c r="E22" s="15"/>
      <c r="F22" s="15"/>
      <c r="G22" s="15"/>
      <c r="H22" s="15"/>
      <c r="I22" s="15"/>
      <c r="J22" s="15"/>
      <c r="K22" s="15"/>
      <c r="L22" s="15"/>
      <c r="M22" s="15"/>
      <c r="N22" s="15"/>
      <c r="O22" s="15"/>
    </row>
    <row r="23" spans="2:19" s="3" customFormat="1" ht="18.75">
      <c r="B23" s="31"/>
      <c r="C23" s="131"/>
      <c r="D23" s="15"/>
      <c r="E23" s="15"/>
      <c r="F23" s="15"/>
      <c r="G23" s="131"/>
      <c r="H23" s="15"/>
      <c r="I23" s="15"/>
      <c r="J23" s="15"/>
      <c r="K23" s="40"/>
      <c r="L23" s="15"/>
      <c r="M23" s="15"/>
      <c r="N23" s="15"/>
      <c r="O23" s="15"/>
    </row>
    <row r="24" spans="2:19">
      <c r="B24" s="15"/>
      <c r="C24" s="31"/>
      <c r="D24" s="34"/>
      <c r="E24" s="34"/>
      <c r="F24" s="34"/>
      <c r="G24" s="31"/>
      <c r="H24" s="34"/>
      <c r="I24" s="34"/>
      <c r="J24" s="34"/>
      <c r="K24" s="3"/>
      <c r="L24" s="34"/>
      <c r="M24" s="34"/>
    </row>
    <row r="25" spans="2:19">
      <c r="B25" s="15"/>
      <c r="C25" s="132"/>
      <c r="D25" s="15"/>
      <c r="E25" s="19"/>
      <c r="F25" s="15"/>
      <c r="G25" s="132"/>
      <c r="H25" s="15"/>
      <c r="I25" s="19"/>
      <c r="J25" s="15"/>
      <c r="K25" s="21"/>
      <c r="L25" s="15"/>
    </row>
    <row r="26" spans="2:19">
      <c r="B26" s="20"/>
      <c r="C26" s="132"/>
      <c r="D26" s="15"/>
      <c r="E26" s="25"/>
      <c r="F26" s="20"/>
      <c r="G26" s="132"/>
      <c r="H26" s="15"/>
      <c r="I26" s="25"/>
      <c r="J26" s="20"/>
      <c r="K26" s="21"/>
      <c r="L26" s="15"/>
      <c r="M26" s="47"/>
    </row>
    <row r="27" spans="2:19">
      <c r="B27" s="15"/>
      <c r="C27" s="133"/>
      <c r="D27" s="19"/>
      <c r="E27" s="19"/>
      <c r="F27" s="15"/>
      <c r="G27" s="133"/>
      <c r="H27" s="19"/>
      <c r="I27" s="19"/>
      <c r="J27" s="15"/>
      <c r="K27" s="48"/>
      <c r="N27" s="5"/>
      <c r="O27" s="5"/>
      <c r="P27" s="5"/>
      <c r="Q27" s="5"/>
      <c r="R27" s="5"/>
      <c r="S27" s="5"/>
    </row>
    <row r="28" spans="2:19" s="19" customFormat="1">
      <c r="B28" s="15"/>
      <c r="C28" s="134"/>
      <c r="F28" s="15"/>
      <c r="G28" s="134"/>
      <c r="J28" s="15"/>
      <c r="K28" s="49"/>
      <c r="L28" s="1"/>
      <c r="M28" s="1"/>
    </row>
    <row r="29" spans="2:19">
      <c r="B29" s="19"/>
      <c r="C29" s="31"/>
      <c r="D29" s="19"/>
      <c r="E29" s="19"/>
      <c r="F29" s="19"/>
      <c r="G29" s="31"/>
      <c r="H29" s="19"/>
      <c r="I29" s="19"/>
      <c r="J29" s="19"/>
      <c r="K29" s="3"/>
    </row>
    <row r="30" spans="2:19">
      <c r="B30" s="19"/>
      <c r="C30" s="132"/>
      <c r="D30" s="19"/>
      <c r="E30" s="19"/>
      <c r="F30" s="19"/>
      <c r="G30" s="132"/>
      <c r="H30" s="19"/>
      <c r="I30" s="19"/>
      <c r="J30" s="19"/>
      <c r="K30" s="21"/>
    </row>
    <row r="31" spans="2:19">
      <c r="B31" s="19"/>
      <c r="C31" s="134"/>
      <c r="D31" s="19"/>
      <c r="E31" s="19"/>
      <c r="F31" s="19"/>
      <c r="G31" s="134"/>
      <c r="H31" s="19"/>
      <c r="I31" s="19"/>
      <c r="J31" s="19"/>
      <c r="K31" s="49"/>
      <c r="N31" s="3"/>
    </row>
    <row r="32" spans="2:19" s="6" customFormat="1">
      <c r="B32" s="19"/>
      <c r="C32" s="134"/>
      <c r="D32" s="19"/>
      <c r="E32" s="19"/>
      <c r="F32" s="19"/>
      <c r="G32" s="134"/>
      <c r="H32" s="19"/>
      <c r="I32" s="19"/>
      <c r="J32" s="19"/>
      <c r="K32" s="49"/>
      <c r="L32" s="1"/>
      <c r="M32" s="1"/>
      <c r="N32" s="1"/>
      <c r="O32" s="1"/>
    </row>
    <row r="33" spans="1:19">
      <c r="B33" s="19"/>
      <c r="C33" s="134"/>
      <c r="D33" s="19"/>
      <c r="E33" s="19"/>
      <c r="F33" s="19"/>
      <c r="G33" s="134"/>
      <c r="H33" s="19"/>
      <c r="I33" s="19"/>
      <c r="J33" s="19"/>
      <c r="K33" s="49"/>
    </row>
    <row r="34" spans="1:19">
      <c r="B34" s="19"/>
      <c r="C34" s="19"/>
      <c r="D34" s="19"/>
      <c r="E34" s="19"/>
      <c r="F34" s="19"/>
      <c r="G34" s="19"/>
      <c r="H34" s="19"/>
      <c r="I34" s="19"/>
      <c r="J34" s="19"/>
    </row>
    <row r="35" spans="1:19">
      <c r="B35" s="19"/>
      <c r="C35" s="19"/>
      <c r="D35" s="19"/>
      <c r="E35" s="19"/>
      <c r="F35" s="19"/>
      <c r="G35" s="19"/>
      <c r="H35" s="19"/>
      <c r="I35" s="19"/>
      <c r="J35" s="31"/>
      <c r="K35" s="21"/>
    </row>
    <row r="36" spans="1:19">
      <c r="J36" s="19"/>
    </row>
    <row r="37" spans="1:19">
      <c r="G37" s="1" t="s">
        <v>86</v>
      </c>
      <c r="J37" s="19"/>
    </row>
    <row r="38" spans="1:19">
      <c r="J38" s="19"/>
      <c r="K38"/>
    </row>
    <row r="40" spans="1:19">
      <c r="A40" s="5"/>
      <c r="B40" s="5"/>
      <c r="C40" s="5"/>
      <c r="D40" s="5"/>
      <c r="E40" s="5"/>
      <c r="F40" s="5"/>
      <c r="G40" s="5"/>
      <c r="H40" s="5"/>
      <c r="I40" s="5"/>
      <c r="J40" s="5"/>
      <c r="L40" s="5"/>
      <c r="M40" s="5"/>
      <c r="N40" s="5"/>
      <c r="O40" s="5"/>
      <c r="P40" s="5"/>
      <c r="Q40" s="5"/>
      <c r="R40" s="5"/>
      <c r="S40" s="5"/>
    </row>
    <row r="41" spans="1:19">
      <c r="G41" s="4"/>
      <c r="H41" s="5"/>
      <c r="I41" s="17"/>
      <c r="J41" s="4"/>
      <c r="N41" s="5"/>
      <c r="O41" s="5"/>
      <c r="P41" s="5"/>
      <c r="Q41" s="5"/>
      <c r="R41" s="5"/>
      <c r="S41" s="5"/>
    </row>
    <row r="42" spans="1:19">
      <c r="H42" s="5"/>
      <c r="I42" s="5"/>
      <c r="Q42" s="1" t="s">
        <v>86</v>
      </c>
      <c r="S42" s="18"/>
    </row>
    <row r="47" spans="1:19">
      <c r="C47" s="5"/>
      <c r="D47" s="5"/>
      <c r="E47" s="5"/>
      <c r="F47" s="5"/>
      <c r="G47" s="5"/>
      <c r="H47" s="5"/>
      <c r="I47" s="5"/>
      <c r="J47" s="5"/>
      <c r="K47" s="5"/>
      <c r="L47" s="5"/>
      <c r="M47" s="5"/>
      <c r="N47" s="5"/>
      <c r="O47" s="5"/>
    </row>
    <row r="48" spans="1:19">
      <c r="C48" s="5"/>
      <c r="D48" s="5"/>
      <c r="E48" s="157"/>
      <c r="F48" s="5"/>
      <c r="G48" s="155"/>
      <c r="H48" s="155"/>
      <c r="I48" s="155"/>
      <c r="J48" s="5"/>
      <c r="K48" s="156"/>
      <c r="L48" s="156"/>
      <c r="M48" s="156"/>
      <c r="N48" s="156"/>
      <c r="O48" s="156"/>
    </row>
    <row r="49" spans="3:15">
      <c r="C49" s="5"/>
      <c r="D49" s="5"/>
      <c r="E49" s="157"/>
      <c r="F49" s="5"/>
      <c r="G49" s="5"/>
      <c r="H49" s="5"/>
      <c r="I49" s="5"/>
      <c r="J49" s="5"/>
      <c r="K49" s="5"/>
      <c r="L49" s="5"/>
      <c r="M49" s="5"/>
      <c r="N49" s="5"/>
      <c r="O49" s="5"/>
    </row>
    <row r="50" spans="3:15">
      <c r="C50" s="5"/>
      <c r="D50" s="5"/>
      <c r="E50" s="5"/>
      <c r="F50" s="5"/>
      <c r="G50" s="5"/>
      <c r="H50" s="5"/>
      <c r="I50" s="5"/>
      <c r="J50" s="5"/>
      <c r="K50" s="5"/>
      <c r="L50" s="5"/>
      <c r="M50" s="5"/>
      <c r="N50" s="5"/>
      <c r="O50" s="5"/>
    </row>
    <row r="51" spans="3:15">
      <c r="C51" s="5"/>
      <c r="D51" s="5"/>
      <c r="E51" s="5"/>
      <c r="F51" s="5"/>
      <c r="G51" s="5"/>
      <c r="H51" s="5"/>
      <c r="I51" s="5"/>
      <c r="J51" s="5"/>
      <c r="K51" s="5"/>
      <c r="L51" s="5"/>
      <c r="M51" s="5"/>
      <c r="N51" s="5"/>
      <c r="O51" s="5"/>
    </row>
    <row r="52" spans="3:15">
      <c r="C52" s="5"/>
      <c r="D52" s="5"/>
      <c r="E52" s="5"/>
      <c r="F52" s="5"/>
      <c r="G52" s="5"/>
      <c r="H52" s="5"/>
      <c r="I52" s="5"/>
      <c r="J52" s="5"/>
      <c r="K52" s="5"/>
      <c r="L52" s="5"/>
      <c r="M52" s="5"/>
      <c r="N52" s="5"/>
      <c r="O52" s="5"/>
    </row>
  </sheetData>
  <sheetProtection password="C456" sheet="1" objects="1" scenarios="1"/>
  <mergeCells count="3">
    <mergeCell ref="E48:E49"/>
    <mergeCell ref="G48:I48"/>
    <mergeCell ref="K48:O48"/>
  </mergeCell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dimension ref="A8:S53"/>
  <sheetViews>
    <sheetView showGridLines="0" showRowColHeaders="0" workbookViewId="0"/>
  </sheetViews>
  <sheetFormatPr defaultColWidth="9.140625" defaultRowHeight="15"/>
  <cols>
    <col min="1" max="1" width="5.28515625" style="1" customWidth="1"/>
    <col min="2" max="2" width="2.42578125" style="1" customWidth="1"/>
    <col min="3" max="3" width="33.42578125" style="1" customWidth="1"/>
    <col min="4" max="4" width="2.42578125" style="1" customWidth="1"/>
    <col min="5" max="5" width="10.42578125" style="1" customWidth="1"/>
    <col min="6" max="6" width="2.42578125" style="1" customWidth="1"/>
    <col min="7" max="7" width="34.7109375" style="1" customWidth="1"/>
    <col min="8" max="8" width="2.42578125" style="1" customWidth="1"/>
    <col min="9" max="9" width="10.42578125" style="1" customWidth="1"/>
    <col min="10" max="10" width="2.42578125" style="1" customWidth="1"/>
    <col min="11" max="11" width="34.28515625" style="1" customWidth="1"/>
    <col min="12" max="12" width="2.42578125" style="1" customWidth="1"/>
    <col min="13" max="13" width="10.42578125" style="1" customWidth="1"/>
    <col min="14" max="14" width="2.42578125" style="1" customWidth="1"/>
    <col min="15" max="15" width="15.140625" style="1" customWidth="1"/>
    <col min="16" max="16" width="2.42578125" style="1" customWidth="1"/>
    <col min="17" max="16384" width="9.140625" style="1"/>
  </cols>
  <sheetData>
    <row r="8" spans="3:19">
      <c r="S8" s="2"/>
    </row>
    <row r="16" spans="3:19">
      <c r="C16" s="15"/>
      <c r="D16" s="15"/>
      <c r="E16" s="15"/>
      <c r="F16" s="15"/>
      <c r="G16" s="15"/>
      <c r="H16" s="15"/>
      <c r="I16" s="15"/>
      <c r="J16" s="15"/>
      <c r="K16" s="15"/>
      <c r="L16" s="15"/>
      <c r="M16" s="15"/>
      <c r="N16" s="15"/>
      <c r="O16" s="15"/>
    </row>
    <row r="17" spans="2:19">
      <c r="C17" s="135" t="s">
        <v>507</v>
      </c>
      <c r="D17" s="15"/>
      <c r="E17" s="15"/>
      <c r="F17" s="15"/>
      <c r="G17" s="15"/>
      <c r="H17" s="15"/>
      <c r="I17" s="15"/>
      <c r="J17" s="15"/>
      <c r="K17" s="15"/>
      <c r="L17" s="15"/>
      <c r="M17" s="15"/>
      <c r="N17" s="15"/>
      <c r="O17" s="15"/>
    </row>
    <row r="18" spans="2:19">
      <c r="C18" s="62" t="s">
        <v>603</v>
      </c>
      <c r="D18" s="15"/>
      <c r="E18" s="137" t="s">
        <v>502</v>
      </c>
      <c r="F18" s="15"/>
      <c r="G18" s="15"/>
      <c r="H18" s="15"/>
      <c r="I18" s="15"/>
      <c r="J18" s="15"/>
      <c r="K18" s="15"/>
      <c r="L18" s="15"/>
      <c r="M18" s="15"/>
      <c r="N18" s="15"/>
      <c r="O18" s="15"/>
    </row>
    <row r="19" spans="2:19">
      <c r="C19" s="25" t="s">
        <v>610</v>
      </c>
      <c r="D19" s="15"/>
      <c r="F19" s="15"/>
      <c r="G19" s="15"/>
      <c r="H19" s="15"/>
      <c r="I19" s="15"/>
      <c r="J19" s="15"/>
      <c r="K19" s="15"/>
      <c r="L19" s="15"/>
      <c r="M19" s="15"/>
      <c r="N19" s="15"/>
      <c r="O19" s="15"/>
    </row>
    <row r="20" spans="2:19">
      <c r="C20" s="49" t="s">
        <v>606</v>
      </c>
      <c r="D20" s="15"/>
      <c r="E20" s="137" t="s">
        <v>503</v>
      </c>
      <c r="F20" s="15"/>
      <c r="G20" s="15"/>
      <c r="H20" s="15"/>
      <c r="I20" s="15"/>
      <c r="J20" s="15"/>
      <c r="K20" s="15"/>
      <c r="L20" s="15"/>
      <c r="M20" s="15"/>
      <c r="N20" s="15"/>
      <c r="O20" s="15"/>
    </row>
    <row r="21" spans="2:19">
      <c r="C21" s="62" t="s">
        <v>607</v>
      </c>
      <c r="D21" s="15"/>
      <c r="E21" s="136" t="s">
        <v>506</v>
      </c>
      <c r="F21" s="15"/>
      <c r="G21" s="15"/>
      <c r="H21" s="15"/>
      <c r="I21" s="15"/>
      <c r="J21" s="15"/>
      <c r="K21" s="15"/>
      <c r="L21" s="15"/>
      <c r="M21" s="15"/>
      <c r="N21" s="15"/>
      <c r="O21" s="15"/>
    </row>
    <row r="22" spans="2:19">
      <c r="C22" s="62" t="s">
        <v>608</v>
      </c>
      <c r="D22" s="15"/>
      <c r="E22" s="136" t="s">
        <v>504</v>
      </c>
      <c r="F22" s="15"/>
      <c r="G22" s="15"/>
      <c r="H22" s="15"/>
      <c r="I22" s="15"/>
      <c r="J22" s="15"/>
      <c r="K22" s="15"/>
      <c r="L22" s="15"/>
      <c r="M22" s="15"/>
      <c r="N22" s="15"/>
      <c r="O22" s="15"/>
    </row>
    <row r="23" spans="2:19">
      <c r="C23" s="62" t="s">
        <v>609</v>
      </c>
      <c r="D23" s="15"/>
      <c r="E23" s="136" t="s">
        <v>505</v>
      </c>
      <c r="F23" s="15"/>
      <c r="G23" s="15"/>
      <c r="H23" s="15"/>
      <c r="I23" s="15"/>
      <c r="J23" s="15"/>
      <c r="K23" s="15"/>
      <c r="L23" s="15"/>
      <c r="M23" s="15"/>
      <c r="N23" s="15"/>
      <c r="O23" s="15"/>
    </row>
    <row r="24" spans="2:19" s="3" customFormat="1" ht="18.75">
      <c r="B24" s="31"/>
      <c r="C24" s="141" t="s">
        <v>510</v>
      </c>
      <c r="D24" s="15"/>
      <c r="E24" s="15"/>
      <c r="F24" s="15"/>
      <c r="G24" s="131"/>
      <c r="H24" s="15"/>
      <c r="I24" s="15"/>
      <c r="J24" s="15"/>
      <c r="K24" s="40"/>
      <c r="L24" s="15"/>
      <c r="M24" s="15"/>
      <c r="N24" s="15"/>
      <c r="O24" s="15"/>
    </row>
    <row r="25" spans="2:19">
      <c r="B25" s="15"/>
      <c r="C25" s="134" t="s">
        <v>604</v>
      </c>
      <c r="D25" s="34"/>
      <c r="E25" s="136" t="s">
        <v>508</v>
      </c>
      <c r="F25" s="34"/>
      <c r="G25" s="31"/>
      <c r="H25" s="34"/>
      <c r="I25" s="34"/>
      <c r="J25" s="34"/>
      <c r="K25" s="3"/>
      <c r="L25" s="34"/>
      <c r="M25" s="34"/>
    </row>
    <row r="26" spans="2:19">
      <c r="B26" s="15"/>
      <c r="D26" s="15"/>
      <c r="E26" s="136" t="s">
        <v>509</v>
      </c>
      <c r="F26" s="15"/>
      <c r="G26" s="132"/>
      <c r="H26" s="15"/>
      <c r="I26" s="19"/>
      <c r="J26" s="15"/>
      <c r="K26" s="21"/>
      <c r="L26" s="15"/>
    </row>
    <row r="27" spans="2:19">
      <c r="B27" s="20"/>
      <c r="C27" s="132"/>
      <c r="D27" s="15"/>
      <c r="E27" s="25"/>
      <c r="F27" s="20"/>
      <c r="G27" s="132"/>
      <c r="H27" s="15"/>
      <c r="I27" s="25"/>
      <c r="J27" s="20"/>
      <c r="K27" s="21"/>
      <c r="L27" s="15"/>
      <c r="M27" s="130"/>
    </row>
    <row r="28" spans="2:19">
      <c r="B28" s="15"/>
      <c r="C28" s="133" t="s">
        <v>605</v>
      </c>
      <c r="D28" s="19"/>
      <c r="E28" s="136" t="s">
        <v>511</v>
      </c>
      <c r="F28" s="15"/>
      <c r="G28" s="133"/>
      <c r="H28" s="19"/>
      <c r="I28" s="19"/>
      <c r="J28" s="15"/>
      <c r="K28" s="48"/>
      <c r="N28" s="5"/>
      <c r="O28" s="5"/>
      <c r="P28" s="5"/>
      <c r="Q28" s="5"/>
      <c r="R28" s="5"/>
      <c r="S28" s="5"/>
    </row>
    <row r="29" spans="2:19" s="19" customFormat="1">
      <c r="B29" s="15"/>
      <c r="C29" s="134"/>
      <c r="F29" s="15"/>
      <c r="G29" s="134"/>
      <c r="J29" s="15"/>
      <c r="K29" s="49"/>
      <c r="L29" s="1"/>
      <c r="M29" s="1"/>
    </row>
    <row r="30" spans="2:19" ht="30">
      <c r="B30" s="19"/>
      <c r="C30" s="58" t="s">
        <v>572</v>
      </c>
      <c r="D30" s="19"/>
      <c r="E30" s="152" t="s">
        <v>573</v>
      </c>
      <c r="F30" s="19"/>
      <c r="G30" s="31"/>
      <c r="H30" s="19"/>
      <c r="I30" s="19"/>
      <c r="J30" s="19"/>
      <c r="K30" s="3"/>
    </row>
    <row r="31" spans="2:19">
      <c r="B31" s="19"/>
      <c r="C31" s="132"/>
      <c r="D31" s="19"/>
      <c r="E31" s="19"/>
      <c r="F31" s="19"/>
      <c r="G31" s="132"/>
      <c r="H31" s="19"/>
      <c r="I31" s="19"/>
      <c r="J31" s="19"/>
      <c r="K31" s="21"/>
    </row>
    <row r="32" spans="2:19">
      <c r="B32" s="19"/>
      <c r="C32" s="134"/>
      <c r="D32" s="19"/>
      <c r="E32" s="19"/>
      <c r="F32" s="19"/>
      <c r="G32" s="134"/>
      <c r="H32" s="19"/>
      <c r="I32" s="19"/>
      <c r="J32" s="19"/>
      <c r="K32" s="49"/>
      <c r="N32" s="3"/>
    </row>
    <row r="33" spans="1:19" s="6" customFormat="1">
      <c r="B33" s="19"/>
      <c r="C33" s="134"/>
      <c r="D33" s="19"/>
      <c r="E33" s="19"/>
      <c r="F33" s="19"/>
      <c r="G33" s="134"/>
      <c r="H33" s="19"/>
      <c r="I33" s="19"/>
      <c r="J33" s="19"/>
      <c r="K33" s="49"/>
      <c r="L33" s="1"/>
      <c r="M33" s="1"/>
      <c r="N33" s="1"/>
      <c r="O33" s="1"/>
    </row>
    <row r="34" spans="1:19">
      <c r="B34" s="19"/>
      <c r="C34" s="134"/>
      <c r="D34" s="19"/>
      <c r="E34" s="19"/>
      <c r="F34" s="19"/>
      <c r="G34" s="134"/>
      <c r="H34" s="19"/>
      <c r="I34" s="19"/>
      <c r="J34" s="19"/>
      <c r="K34" s="49"/>
    </row>
    <row r="35" spans="1:19">
      <c r="B35" s="19"/>
      <c r="C35" s="19"/>
      <c r="D35" s="19"/>
      <c r="E35" s="19"/>
      <c r="F35" s="19"/>
      <c r="G35" s="19"/>
      <c r="H35" s="19"/>
      <c r="I35" s="19"/>
      <c r="J35" s="19"/>
    </row>
    <row r="36" spans="1:19">
      <c r="B36" s="19"/>
      <c r="C36" s="19"/>
      <c r="D36" s="19"/>
      <c r="E36" s="19"/>
      <c r="F36" s="19"/>
      <c r="G36" s="19"/>
      <c r="H36" s="19"/>
      <c r="I36" s="19"/>
      <c r="J36" s="31"/>
      <c r="K36" s="21"/>
    </row>
    <row r="37" spans="1:19">
      <c r="J37" s="19"/>
    </row>
    <row r="38" spans="1:19">
      <c r="G38" s="1" t="s">
        <v>86</v>
      </c>
      <c r="J38" s="19"/>
    </row>
    <row r="39" spans="1:19">
      <c r="J39" s="19"/>
      <c r="K39"/>
    </row>
    <row r="41" spans="1:19">
      <c r="A41" s="5"/>
      <c r="B41" s="5"/>
      <c r="C41" s="5"/>
      <c r="D41" s="5"/>
      <c r="E41" s="5"/>
      <c r="F41" s="5"/>
      <c r="G41" s="5"/>
      <c r="H41" s="5"/>
      <c r="I41" s="5"/>
      <c r="J41" s="5"/>
      <c r="L41" s="5"/>
      <c r="M41" s="5"/>
      <c r="N41" s="5"/>
      <c r="O41" s="5"/>
      <c r="P41" s="5"/>
      <c r="Q41" s="5"/>
      <c r="R41" s="5"/>
      <c r="S41" s="5"/>
    </row>
    <row r="42" spans="1:19">
      <c r="G42" s="4"/>
      <c r="H42" s="5"/>
      <c r="I42" s="17"/>
      <c r="J42" s="4"/>
      <c r="N42" s="5"/>
      <c r="O42" s="5"/>
      <c r="P42" s="5"/>
      <c r="Q42" s="5"/>
      <c r="R42" s="5"/>
      <c r="S42" s="5"/>
    </row>
    <row r="43" spans="1:19">
      <c r="H43" s="5"/>
      <c r="I43" s="5"/>
      <c r="Q43" s="1" t="s">
        <v>86</v>
      </c>
      <c r="S43" s="18"/>
    </row>
    <row r="48" spans="1:19">
      <c r="C48" s="5"/>
      <c r="D48" s="5"/>
      <c r="E48" s="5"/>
      <c r="F48" s="5"/>
      <c r="G48" s="5"/>
      <c r="H48" s="5"/>
      <c r="I48" s="5"/>
      <c r="J48" s="5"/>
      <c r="K48" s="5"/>
      <c r="L48" s="5"/>
      <c r="M48" s="5"/>
      <c r="N48" s="5"/>
      <c r="O48" s="5"/>
    </row>
    <row r="49" spans="3:15">
      <c r="C49" s="5"/>
      <c r="D49" s="5"/>
      <c r="E49" s="157"/>
      <c r="F49" s="5"/>
      <c r="G49" s="155"/>
      <c r="H49" s="155"/>
      <c r="I49" s="155"/>
      <c r="J49" s="5"/>
      <c r="K49" s="156"/>
      <c r="L49" s="156"/>
      <c r="M49" s="156"/>
      <c r="N49" s="156"/>
      <c r="O49" s="156"/>
    </row>
    <row r="50" spans="3:15">
      <c r="C50" s="5"/>
      <c r="D50" s="5"/>
      <c r="E50" s="157"/>
      <c r="F50" s="5"/>
      <c r="G50" s="5"/>
      <c r="H50" s="5"/>
      <c r="I50" s="5"/>
      <c r="J50" s="5"/>
      <c r="K50" s="5"/>
      <c r="L50" s="5"/>
      <c r="M50" s="5"/>
      <c r="N50" s="5"/>
      <c r="O50" s="5"/>
    </row>
    <row r="51" spans="3:15">
      <c r="C51" s="5"/>
      <c r="D51" s="5"/>
      <c r="E51" s="5"/>
      <c r="F51" s="5"/>
      <c r="G51" s="5"/>
      <c r="H51" s="5"/>
      <c r="I51" s="5"/>
      <c r="J51" s="5"/>
      <c r="K51" s="5"/>
      <c r="L51" s="5"/>
      <c r="M51" s="5"/>
      <c r="N51" s="5"/>
      <c r="O51" s="5"/>
    </row>
    <row r="52" spans="3:15">
      <c r="C52" s="5"/>
      <c r="D52" s="5"/>
      <c r="E52" s="5"/>
      <c r="F52" s="5"/>
      <c r="G52" s="5"/>
      <c r="H52" s="5"/>
      <c r="I52" s="5"/>
      <c r="J52" s="5"/>
      <c r="K52" s="5"/>
      <c r="L52" s="5"/>
      <c r="M52" s="5"/>
      <c r="N52" s="5"/>
      <c r="O52" s="5"/>
    </row>
    <row r="53" spans="3:15">
      <c r="C53" s="5"/>
      <c r="D53" s="5"/>
      <c r="E53" s="5"/>
      <c r="F53" s="5"/>
      <c r="G53" s="5"/>
      <c r="H53" s="5"/>
      <c r="I53" s="5"/>
      <c r="J53" s="5"/>
      <c r="K53" s="5"/>
      <c r="L53" s="5"/>
      <c r="M53" s="5"/>
      <c r="N53" s="5"/>
      <c r="O53" s="5"/>
    </row>
  </sheetData>
  <sheetProtection password="C456" sheet="1" objects="1" scenarios="1"/>
  <mergeCells count="3">
    <mergeCell ref="E49:E50"/>
    <mergeCell ref="G49:I49"/>
    <mergeCell ref="K49:O49"/>
  </mergeCells>
  <hyperlinks>
    <hyperlink ref="E18" r:id="rId1"/>
    <hyperlink ref="E20" r:id="rId2"/>
    <hyperlink ref="E22" r:id="rId3"/>
    <hyperlink ref="E23" r:id="rId4"/>
    <hyperlink ref="E21" r:id="rId5"/>
    <hyperlink ref="E25" r:id="rId6"/>
    <hyperlink ref="E26" r:id="rId7"/>
    <hyperlink ref="E28" r:id="rId8"/>
    <hyperlink ref="E30" r:id="rId9"/>
  </hyperlinks>
  <pageMargins left="0.7" right="0.7" top="0.75" bottom="0.75" header="0.3" footer="0.3"/>
  <pageSetup orientation="portrait" horizontalDpi="4294967293" verticalDpi="4294967293" r:id="rId10"/>
  <drawing r:id="rId11"/>
</worksheet>
</file>

<file path=xl/worksheets/sheet14.xml><?xml version="1.0" encoding="utf-8"?>
<worksheet xmlns="http://schemas.openxmlformats.org/spreadsheetml/2006/main" xmlns:r="http://schemas.openxmlformats.org/officeDocument/2006/relationships">
  <sheetPr codeName="Sheet11"/>
  <dimension ref="A1:CC113"/>
  <sheetViews>
    <sheetView topLeftCell="AK23" workbookViewId="0">
      <selection activeCell="AY8" sqref="AY8"/>
    </sheetView>
  </sheetViews>
  <sheetFormatPr defaultRowHeight="15"/>
  <cols>
    <col min="2" max="2" width="11.42578125" customWidth="1"/>
    <col min="3" max="3" width="12.7109375" customWidth="1"/>
    <col min="4" max="4" width="10.5703125" customWidth="1"/>
    <col min="5" max="5" width="12.85546875" customWidth="1"/>
    <col min="6" max="6" width="12.140625" customWidth="1"/>
    <col min="7" max="8" width="11.5703125" customWidth="1"/>
    <col min="10" max="10" width="12.140625" customWidth="1"/>
    <col min="11" max="11" width="13.140625" customWidth="1"/>
    <col min="12" max="12" width="12" bestFit="1" customWidth="1"/>
    <col min="14" max="14" width="16.42578125" customWidth="1"/>
    <col min="15" max="15" width="16.7109375" customWidth="1"/>
    <col min="16" max="16" width="22" bestFit="1" customWidth="1"/>
    <col min="17" max="17" width="9" customWidth="1"/>
    <col min="18" max="18" width="12" customWidth="1"/>
    <col min="19" max="19" width="12.85546875" customWidth="1"/>
    <col min="20" max="20" width="8.85546875" customWidth="1"/>
    <col min="21" max="21" width="11.42578125" customWidth="1"/>
    <col min="22" max="22" width="13" customWidth="1"/>
    <col min="23" max="23" width="17.85546875" customWidth="1"/>
    <col min="24" max="24" width="23.5703125" bestFit="1" customWidth="1"/>
    <col min="25" max="25" width="13.85546875" bestFit="1" customWidth="1"/>
    <col min="26" max="26" width="14.42578125" customWidth="1"/>
    <col min="27" max="27" width="23.140625" bestFit="1" customWidth="1"/>
    <col min="31" max="31" width="12" bestFit="1" customWidth="1"/>
    <col min="48" max="51" width="9.5703125" bestFit="1" customWidth="1"/>
    <col min="58" max="61" width="10.5703125" bestFit="1" customWidth="1"/>
  </cols>
  <sheetData>
    <row r="1" spans="1:81">
      <c r="A1" s="167" t="s">
        <v>8</v>
      </c>
      <c r="B1" s="168"/>
      <c r="C1" s="168"/>
      <c r="D1" s="168"/>
      <c r="E1" s="169"/>
      <c r="F1" s="169"/>
      <c r="G1" s="167" t="s">
        <v>9</v>
      </c>
      <c r="H1" s="170"/>
      <c r="I1" s="168"/>
      <c r="J1" s="168"/>
      <c r="K1" s="168"/>
      <c r="L1" s="168"/>
      <c r="M1" s="168"/>
      <c r="N1" s="168"/>
      <c r="O1" s="168"/>
      <c r="P1" s="171"/>
      <c r="Q1" s="170" t="s">
        <v>10</v>
      </c>
      <c r="R1" s="168"/>
      <c r="S1" s="168"/>
      <c r="T1" s="168"/>
      <c r="U1" s="168"/>
      <c r="V1" s="168"/>
      <c r="W1" s="168"/>
      <c r="X1" s="168"/>
      <c r="Y1" s="171"/>
      <c r="Z1" s="165" t="s">
        <v>137</v>
      </c>
      <c r="AA1" s="165"/>
      <c r="AB1" s="166"/>
      <c r="AC1" s="165" t="s">
        <v>26</v>
      </c>
      <c r="AD1" s="166"/>
      <c r="AE1" s="166"/>
      <c r="AF1" s="166"/>
      <c r="AG1" s="166"/>
      <c r="AH1" s="165" t="s">
        <v>144</v>
      </c>
      <c r="AI1" s="165"/>
      <c r="AJ1" s="165"/>
      <c r="AK1" s="165"/>
      <c r="AL1" s="165"/>
    </row>
    <row r="2" spans="1:81" ht="45.75" thickBot="1">
      <c r="A2" s="7" t="s">
        <v>11</v>
      </c>
      <c r="B2" s="22" t="s">
        <v>114</v>
      </c>
      <c r="C2" s="22" t="s">
        <v>117</v>
      </c>
      <c r="D2" s="22" t="s">
        <v>118</v>
      </c>
      <c r="E2" s="23" t="s">
        <v>119</v>
      </c>
      <c r="F2" s="9" t="s">
        <v>14</v>
      </c>
      <c r="G2" s="10" t="s">
        <v>15</v>
      </c>
      <c r="H2" s="24" t="s">
        <v>121</v>
      </c>
      <c r="I2" s="22" t="s">
        <v>164</v>
      </c>
      <c r="J2" s="8" t="s">
        <v>16</v>
      </c>
      <c r="K2" s="8" t="s">
        <v>17</v>
      </c>
      <c r="L2" s="8" t="s">
        <v>18</v>
      </c>
      <c r="M2" s="22" t="s">
        <v>165</v>
      </c>
      <c r="N2" s="8" t="s">
        <v>19</v>
      </c>
      <c r="O2" s="8" t="s">
        <v>20</v>
      </c>
      <c r="P2" s="11" t="s">
        <v>14</v>
      </c>
      <c r="Q2" s="24" t="s">
        <v>176</v>
      </c>
      <c r="R2" s="22" t="s">
        <v>171</v>
      </c>
      <c r="S2" s="22" t="s">
        <v>173</v>
      </c>
      <c r="T2" s="22" t="s">
        <v>175</v>
      </c>
      <c r="U2" s="22" t="s">
        <v>172</v>
      </c>
      <c r="V2" s="22" t="s">
        <v>174</v>
      </c>
      <c r="W2" s="8" t="s">
        <v>19</v>
      </c>
      <c r="X2" s="8" t="s">
        <v>20</v>
      </c>
      <c r="Y2" s="11" t="s">
        <v>14</v>
      </c>
      <c r="Z2" s="166"/>
      <c r="AA2" s="166"/>
      <c r="AB2" s="166"/>
      <c r="AC2" s="166"/>
      <c r="AD2" s="166"/>
      <c r="AE2" s="166"/>
      <c r="AF2" s="166"/>
      <c r="AG2" s="166"/>
      <c r="AH2" s="165"/>
      <c r="AI2" s="165"/>
      <c r="AJ2" s="165"/>
      <c r="AK2" s="165"/>
      <c r="AL2" s="165"/>
    </row>
    <row r="3" spans="1:81">
      <c r="A3">
        <v>1</v>
      </c>
      <c r="B3" t="s">
        <v>115</v>
      </c>
      <c r="C3" t="s">
        <v>115</v>
      </c>
      <c r="D3" t="s">
        <v>115</v>
      </c>
      <c r="E3" t="s">
        <v>2</v>
      </c>
      <c r="F3">
        <v>0</v>
      </c>
      <c r="G3">
        <v>2</v>
      </c>
      <c r="H3" t="s">
        <v>122</v>
      </c>
      <c r="I3">
        <v>0</v>
      </c>
      <c r="J3" t="s">
        <v>115</v>
      </c>
      <c r="K3" t="s">
        <v>115</v>
      </c>
      <c r="L3">
        <v>0</v>
      </c>
      <c r="M3">
        <v>0</v>
      </c>
      <c r="N3" t="s">
        <v>2</v>
      </c>
      <c r="O3" t="s">
        <v>2</v>
      </c>
      <c r="P3">
        <v>0</v>
      </c>
      <c r="Q3">
        <v>0</v>
      </c>
      <c r="R3" t="s">
        <v>2</v>
      </c>
      <c r="S3" t="s">
        <v>22</v>
      </c>
      <c r="T3">
        <v>0</v>
      </c>
      <c r="U3" t="s">
        <v>2</v>
      </c>
      <c r="V3" t="s">
        <v>22</v>
      </c>
      <c r="W3" t="s">
        <v>2</v>
      </c>
      <c r="X3" t="s">
        <v>2</v>
      </c>
      <c r="Y3">
        <v>0</v>
      </c>
      <c r="Z3" s="166"/>
      <c r="AA3" s="166"/>
      <c r="AB3" s="166"/>
      <c r="AC3" s="166"/>
      <c r="AD3" s="166"/>
      <c r="AE3" s="166"/>
      <c r="AF3" s="166"/>
      <c r="AG3" s="166"/>
      <c r="AH3" s="165"/>
      <c r="AI3" s="165"/>
      <c r="AJ3" s="165"/>
      <c r="AK3" s="165"/>
      <c r="AL3" s="165"/>
    </row>
    <row r="4" spans="1:81">
      <c r="A4">
        <v>3</v>
      </c>
      <c r="B4" t="s">
        <v>116</v>
      </c>
      <c r="C4" t="s">
        <v>116</v>
      </c>
      <c r="D4" t="s">
        <v>116</v>
      </c>
      <c r="E4" t="s">
        <v>23</v>
      </c>
      <c r="F4">
        <v>24</v>
      </c>
      <c r="G4">
        <v>4</v>
      </c>
      <c r="H4" t="s">
        <v>123</v>
      </c>
      <c r="I4">
        <v>1</v>
      </c>
      <c r="J4" t="s">
        <v>116</v>
      </c>
      <c r="K4" t="s">
        <v>116</v>
      </c>
      <c r="L4">
        <v>2</v>
      </c>
      <c r="M4">
        <v>1</v>
      </c>
      <c r="N4" t="s">
        <v>23</v>
      </c>
      <c r="O4" t="s">
        <v>23</v>
      </c>
      <c r="P4">
        <v>12</v>
      </c>
      <c r="Q4">
        <v>1</v>
      </c>
      <c r="R4" t="s">
        <v>23</v>
      </c>
      <c r="S4" t="s">
        <v>23</v>
      </c>
      <c r="T4">
        <v>1</v>
      </c>
      <c r="U4" t="s">
        <v>23</v>
      </c>
      <c r="V4" t="s">
        <v>23</v>
      </c>
      <c r="W4" t="s">
        <v>23</v>
      </c>
      <c r="X4" t="s">
        <v>23</v>
      </c>
      <c r="Y4">
        <v>24</v>
      </c>
      <c r="Z4" s="166"/>
      <c r="AA4" s="166"/>
      <c r="AB4" s="166"/>
      <c r="AC4" s="166"/>
      <c r="AD4" s="166"/>
      <c r="AE4" s="166"/>
      <c r="AF4" s="166"/>
      <c r="AG4" s="166"/>
      <c r="AH4" s="28" t="s">
        <v>39</v>
      </c>
      <c r="AI4" s="164" t="s">
        <v>40</v>
      </c>
      <c r="AJ4" s="164"/>
      <c r="AK4" s="164"/>
      <c r="AL4" s="164"/>
    </row>
    <row r="5" spans="1:81" ht="60">
      <c r="A5">
        <v>5</v>
      </c>
      <c r="B5">
        <v>2</v>
      </c>
      <c r="C5">
        <v>2</v>
      </c>
      <c r="D5">
        <v>1</v>
      </c>
      <c r="E5">
        <v>2</v>
      </c>
      <c r="F5" t="s">
        <v>24</v>
      </c>
      <c r="G5" t="s">
        <v>178</v>
      </c>
      <c r="H5">
        <v>2</v>
      </c>
      <c r="I5">
        <v>3</v>
      </c>
      <c r="J5">
        <v>2</v>
      </c>
      <c r="K5">
        <v>2</v>
      </c>
      <c r="L5">
        <v>4</v>
      </c>
      <c r="M5">
        <v>3</v>
      </c>
      <c r="N5">
        <v>1</v>
      </c>
      <c r="O5">
        <v>1</v>
      </c>
      <c r="P5">
        <v>0</v>
      </c>
      <c r="Q5">
        <v>3</v>
      </c>
      <c r="R5">
        <v>2</v>
      </c>
      <c r="S5">
        <v>2</v>
      </c>
      <c r="T5">
        <v>3</v>
      </c>
      <c r="U5">
        <v>2</v>
      </c>
      <c r="V5">
        <v>2</v>
      </c>
      <c r="W5">
        <v>1</v>
      </c>
      <c r="X5">
        <v>1</v>
      </c>
      <c r="Z5" s="29" t="s">
        <v>138</v>
      </c>
      <c r="AA5" s="27" t="s">
        <v>163</v>
      </c>
      <c r="AB5" s="26" t="s">
        <v>128</v>
      </c>
      <c r="AC5" s="26" t="s">
        <v>133</v>
      </c>
      <c r="AD5" s="27" t="s">
        <v>134</v>
      </c>
      <c r="AE5" s="27" t="s">
        <v>151</v>
      </c>
      <c r="AF5" s="27" t="s">
        <v>135</v>
      </c>
      <c r="AG5" s="27" t="s">
        <v>136</v>
      </c>
      <c r="AH5" s="27" t="s">
        <v>139</v>
      </c>
      <c r="AI5" s="27" t="s">
        <v>140</v>
      </c>
      <c r="AJ5" s="27" t="s">
        <v>141</v>
      </c>
      <c r="AK5" s="27" t="s">
        <v>142</v>
      </c>
      <c r="AL5" s="27" t="s">
        <v>143</v>
      </c>
    </row>
    <row r="6" spans="1:81">
      <c r="A6">
        <v>3</v>
      </c>
      <c r="D6">
        <f>IF(D5=1,0,0.157)</f>
        <v>0</v>
      </c>
      <c r="G6" t="s">
        <v>179</v>
      </c>
      <c r="H6">
        <v>2</v>
      </c>
      <c r="I6">
        <v>5</v>
      </c>
      <c r="M6">
        <v>5</v>
      </c>
      <c r="P6">
        <v>1</v>
      </c>
      <c r="Q6">
        <v>5</v>
      </c>
      <c r="T6">
        <v>5</v>
      </c>
      <c r="AA6">
        <v>0.5</v>
      </c>
      <c r="AB6" t="s">
        <v>129</v>
      </c>
      <c r="AQ6" t="s">
        <v>540</v>
      </c>
      <c r="AV6" t="s">
        <v>545</v>
      </c>
      <c r="BA6" t="s">
        <v>546</v>
      </c>
      <c r="BF6" t="s">
        <v>547</v>
      </c>
      <c r="BK6" t="s">
        <v>548</v>
      </c>
      <c r="BP6" t="s">
        <v>549</v>
      </c>
      <c r="BU6" t="s">
        <v>550</v>
      </c>
      <c r="BZ6" t="s">
        <v>551</v>
      </c>
    </row>
    <row r="7" spans="1:81">
      <c r="G7" t="s">
        <v>180</v>
      </c>
      <c r="H7">
        <v>2</v>
      </c>
      <c r="I7">
        <v>3</v>
      </c>
      <c r="M7">
        <v>3</v>
      </c>
      <c r="P7" s="65" t="s">
        <v>177</v>
      </c>
      <c r="Q7">
        <v>3</v>
      </c>
      <c r="T7">
        <v>3</v>
      </c>
      <c r="AA7">
        <v>1</v>
      </c>
      <c r="AB7" t="s">
        <v>130</v>
      </c>
      <c r="AQ7" t="s">
        <v>541</v>
      </c>
      <c r="AR7" t="s">
        <v>542</v>
      </c>
      <c r="AS7" t="s">
        <v>543</v>
      </c>
      <c r="AT7" t="s">
        <v>544</v>
      </c>
      <c r="AV7" t="s">
        <v>541</v>
      </c>
      <c r="AW7" t="s">
        <v>542</v>
      </c>
      <c r="AX7" t="s">
        <v>543</v>
      </c>
      <c r="AY7" t="s">
        <v>544</v>
      </c>
      <c r="BA7" t="s">
        <v>541</v>
      </c>
      <c r="BB7" t="s">
        <v>542</v>
      </c>
      <c r="BC7" t="s">
        <v>543</v>
      </c>
      <c r="BD7" t="s">
        <v>544</v>
      </c>
      <c r="BF7" t="s">
        <v>541</v>
      </c>
      <c r="BG7" t="s">
        <v>542</v>
      </c>
      <c r="BH7" t="s">
        <v>543</v>
      </c>
      <c r="BI7" t="s">
        <v>544</v>
      </c>
      <c r="BK7" t="s">
        <v>541</v>
      </c>
      <c r="BL7" t="s">
        <v>542</v>
      </c>
      <c r="BM7" t="s">
        <v>543</v>
      </c>
      <c r="BN7" t="s">
        <v>544</v>
      </c>
      <c r="BP7" t="s">
        <v>541</v>
      </c>
      <c r="BQ7" t="s">
        <v>542</v>
      </c>
      <c r="BR7" t="s">
        <v>543</v>
      </c>
      <c r="BS7" t="s">
        <v>544</v>
      </c>
      <c r="BU7" t="s">
        <v>541</v>
      </c>
      <c r="BV7" t="s">
        <v>542</v>
      </c>
      <c r="BW7" t="s">
        <v>543</v>
      </c>
      <c r="BX7" t="s">
        <v>544</v>
      </c>
      <c r="BZ7" t="s">
        <v>541</v>
      </c>
      <c r="CA7" t="s">
        <v>542</v>
      </c>
      <c r="CB7" t="s">
        <v>543</v>
      </c>
      <c r="CC7" t="s">
        <v>544</v>
      </c>
    </row>
    <row r="8" spans="1:81">
      <c r="N8" t="s">
        <v>248</v>
      </c>
      <c r="P8" t="s">
        <v>469</v>
      </c>
      <c r="AA8">
        <v>2</v>
      </c>
      <c r="AB8" t="s">
        <v>131</v>
      </c>
      <c r="AP8">
        <v>2000</v>
      </c>
      <c r="AQ8">
        <f>((((((9.4*AP8)/28800)*1)/(1-0.008))*2)*$Q$38)+($R$38*100)+($R$45*AP8)</f>
        <v>9.2762085854538139</v>
      </c>
      <c r="AR8">
        <f>((((((9.4*AP8)/28800)*1)/(1-0.008))*2)*$Q$40)+($R$40*100)+($R$45*AP8)</f>
        <v>6.1674773612537184</v>
      </c>
      <c r="AS8">
        <f>((((((9.4*AP8)/28800)*1)/(1-0.008))*2)*$Q$42)+($R$42*100)+($R$45*AP8)</f>
        <v>4.8271606549175656</v>
      </c>
      <c r="AT8">
        <f>((((((9.4*AP8)/28800)*1)/(1-0.008))*2)*$Q$47)+($R$47*100)+($R$45*AP8)</f>
        <v>1.4094345736775258</v>
      </c>
      <c r="AU8" s="148">
        <v>1519.6595744680849</v>
      </c>
      <c r="AV8">
        <f>((((((9.4*AP8)/28800)*1)/(1-0.008))*2)*$Q$39)+$R$39*100</f>
        <v>62.650499586027038</v>
      </c>
      <c r="AW8">
        <f>((((((9.4*AP8)/28800)*1)/(1-0.008))*2)*$Q$41)+$R$41*100</f>
        <v>53.060181993420088</v>
      </c>
      <c r="AX8">
        <f>((((((9.4*AP8)/28800)*1)/(1-0.008))*2)*$Q$43)+$R$43*100</f>
        <v>47.503935240527916</v>
      </c>
      <c r="AY8">
        <f>((((((9.4*AP8)/28800)*1)/(1-0.008))*2)*$Q$48)+$R$48*100</f>
        <v>38.3814448241299</v>
      </c>
      <c r="AZ8">
        <v>2000</v>
      </c>
      <c r="BA8">
        <f>($AB$38*AP8)+($Y$38*100)</f>
        <v>41.203180301783853</v>
      </c>
      <c r="BB8">
        <f>($AB$46*AP8)+($Y$46*100)</f>
        <v>39.530535325870595</v>
      </c>
      <c r="BC8">
        <f>($AB$54*AP8)+($Y$54*100)</f>
        <v>37.789565461210053</v>
      </c>
      <c r="BD8">
        <f>($AB$74*AP8)+($Y$74*100)</f>
        <v>32.424164303035525</v>
      </c>
      <c r="BE8">
        <v>2000</v>
      </c>
      <c r="BF8">
        <f>($Y$39*100)+($AB$39*AP8)</f>
        <v>87.330427042643237</v>
      </c>
      <c r="BG8">
        <f>($Y$47*100)+($AB$47*AP8)</f>
        <v>72.97469889322916</v>
      </c>
      <c r="BH8">
        <f>($Y$55*100)+($AB$55*AP8)</f>
        <v>68.500861002604168</v>
      </c>
      <c r="BI8">
        <f>($Y$75*100)+($AB$75*AP8)</f>
        <v>61.612955729166671</v>
      </c>
      <c r="BJ8">
        <v>2000</v>
      </c>
      <c r="BK8">
        <f>((AP8*$X$80)+$W$80)*100</f>
        <v>8.3018000000000001</v>
      </c>
      <c r="BL8">
        <f>((AP8*$X$81)+$W$81)*100</f>
        <v>7.0529999999999999</v>
      </c>
      <c r="BM8">
        <f>((AP8*$X$82)+$W$82)*100</f>
        <v>6.1115500000000003</v>
      </c>
      <c r="BN8">
        <f>((AP8*$X$79)+$W$79)*100</f>
        <v>3.6561999999999997</v>
      </c>
      <c r="BO8">
        <v>2000</v>
      </c>
      <c r="BP8">
        <f>((AP8*$Z$80)+$Y$80)*100</f>
        <v>55.365096435546882</v>
      </c>
      <c r="BQ8">
        <f>((AP8*$Z$81)+$Y$81)*100</f>
        <v>43.557998046874999</v>
      </c>
      <c r="BR8">
        <f>((AP8*$Z$82)+$Y$82)*100</f>
        <v>39.774558105468749</v>
      </c>
      <c r="BS8">
        <f>((AP8*$Z$79)+$Y$79)*100</f>
        <v>33.8514404296875</v>
      </c>
      <c r="BT8">
        <v>2000</v>
      </c>
      <c r="BU8">
        <f>((AP8*$S$80)+$R$80)*100</f>
        <v>43.734000000000009</v>
      </c>
      <c r="BV8">
        <f>((AP8*$S$81)+$R$81)*100</f>
        <v>42.886400000000002</v>
      </c>
      <c r="BW8">
        <f>((AP8*$S$82)+$R$82)*100</f>
        <v>42.501025000000006</v>
      </c>
      <c r="BX8">
        <f>((AP8*$S$79)+$R$79)*100</f>
        <v>39.558300000000003</v>
      </c>
      <c r="BY8">
        <v>2000</v>
      </c>
      <c r="BZ8">
        <f>(2048+(3.5*AP8)+$T$80+($U$80*$T$76))/(8*1024)*100/2</f>
        <v>63.85771618652344</v>
      </c>
      <c r="CA8">
        <f>(2048+(3.5*AP8)+$T$81+($U$81*$T$76))/(8*1024)*100/2</f>
        <v>59.056937988281241</v>
      </c>
      <c r="CB8">
        <f>(2048+(3.5*AP8)+$T$82+($U$82*$T$76))/(8*1024)*100/2</f>
        <v>57.657733642578123</v>
      </c>
      <c r="CC8">
        <f>(2048+(3.5*AP8))/(8*1024)*100/2</f>
        <v>55.224609375</v>
      </c>
    </row>
    <row r="9" spans="1:81">
      <c r="B9" s="79" t="s">
        <v>232</v>
      </c>
      <c r="G9" s="79" t="s">
        <v>247</v>
      </c>
      <c r="H9" s="80"/>
      <c r="L9" s="148" t="s">
        <v>560</v>
      </c>
      <c r="O9">
        <f>O12+((O11-O12)*0.288)</f>
        <v>1.1093400426025843</v>
      </c>
      <c r="Q9" s="148">
        <f>Q12+((Q11-Q12)*0.288)</f>
        <v>1.1093400426025843</v>
      </c>
      <c r="AA9">
        <v>3</v>
      </c>
      <c r="AB9" t="s">
        <v>132</v>
      </c>
      <c r="AP9">
        <v>4000</v>
      </c>
      <c r="AQ9">
        <f t="shared" ref="AQ9:AQ22" si="0">((((((9.4*AP9)/28800)*1)/(1-0.008))*2)*$Q$38)+($R$38*100)+($R$45*AP9)</f>
        <v>17.803617170907629</v>
      </c>
      <c r="AR9">
        <f t="shared" ref="AR9:AR22" si="1">((((((9.4*AP9)/28800)*1)/(1-0.008))*2)*$Q$40)+($R$40*100)+($R$45*AP9)</f>
        <v>10.236954722507436</v>
      </c>
      <c r="AS9">
        <f t="shared" ref="AS9:AS22" si="2">((((((9.4*AP9)/28800)*1)/(1-0.008))*2)*$Q$42)+($R$42*100)+($R$45*AP9)</f>
        <v>8.5519213098351301</v>
      </c>
      <c r="AT9">
        <f t="shared" ref="AT9:AT22" si="3">((((((9.4*AP9)/28800)*1)/(1-0.008))*2)*$Q$47)+($R$47*100)+($R$45*AP9)</f>
        <v>2.3948679448234058</v>
      </c>
      <c r="AU9" s="148">
        <v>7598.2978723404249</v>
      </c>
      <c r="AV9">
        <f t="shared" ref="AV9:AV16" si="4">((((((9.4*AP9)/28800)*1)/(1-0.008))*2)*$Q$39)+$R$39*100</f>
        <v>62.650599172054072</v>
      </c>
      <c r="AW9">
        <f t="shared" ref="AW9:AW16" si="5">((((((9.4*AP9)/28800)*1)/(1-0.008))*2)*$Q$41)+$R$41*100</f>
        <v>53.060263986840177</v>
      </c>
      <c r="AX9">
        <f t="shared" ref="AX9:AX16" si="6">((((((9.4*AP9)/28800)*1)/(1-0.008))*2)*$Q$43)+$R$43*100</f>
        <v>47.503970481055831</v>
      </c>
      <c r="AY9">
        <f t="shared" ref="AY9:AY16" si="7">((((((9.4*AP9)/28800)*1)/(1-0.008))*2)*$Q$48)+$R$48*100</f>
        <v>38.397189648259797</v>
      </c>
      <c r="AZ9">
        <v>4000</v>
      </c>
      <c r="BA9" s="148">
        <f t="shared" ref="BA9:BA22" si="8">($AB$38*AP9)+($Y$38*100)</f>
        <v>81.803920965862943</v>
      </c>
      <c r="BB9" s="148">
        <f t="shared" ref="BB9:BB22" si="9">($AB$46*AP9)+($Y$46*100)</f>
        <v>78.263051110383387</v>
      </c>
      <c r="BC9" s="148">
        <f t="shared" ref="BC9:BC22" si="10">($AB$54*AP9)+($Y$54*100)</f>
        <v>75.035231922420095</v>
      </c>
      <c r="BD9" s="148">
        <f t="shared" ref="BD9:BD22" si="11">($AB$74*AP9)+($Y$74*100)</f>
        <v>64.26011562535669</v>
      </c>
      <c r="BE9">
        <v>4000</v>
      </c>
      <c r="BF9" s="148">
        <f t="shared" ref="BF9:BF22" si="12">($Y$39*100)+($AB$39*AP9)</f>
        <v>128.46196085611979</v>
      </c>
      <c r="BG9" s="148">
        <f t="shared" ref="BG9:BG22" si="13">($Y$47*100)+($AB$47*AP9)</f>
        <v>114.05519205729166</v>
      </c>
      <c r="BH9" s="148">
        <f t="shared" ref="BH9:BH22" si="14">($Y$55*100)+($AB$55*AP9)</f>
        <v>109.56782877604168</v>
      </c>
      <c r="BI9" s="148">
        <f t="shared" ref="BI9:BI22" si="15">($Y$75*100)+($AB$75*AP9)</f>
        <v>102.62858072916667</v>
      </c>
      <c r="BJ9">
        <v>4000</v>
      </c>
      <c r="BK9">
        <f t="shared" ref="BK9:BK22" si="16">((AP9*$X$80)+$W$80)*100</f>
        <v>16.035</v>
      </c>
      <c r="BL9">
        <f t="shared" ref="BL9:BL22" si="17">((AP9*$X$81)+$W$81)*100</f>
        <v>13.5374</v>
      </c>
      <c r="BM9">
        <f t="shared" ref="BM9:BM22" si="18">((AP9*$X$82)+$W$82)*100</f>
        <v>11.668000000000001</v>
      </c>
      <c r="BN9">
        <f t="shared" ref="BN9:BN22" si="19">((AP9*$X$79)+$W$79)*100</f>
        <v>6.8989999999999991</v>
      </c>
      <c r="BO9">
        <v>4000</v>
      </c>
      <c r="BP9">
        <f t="shared" ref="BP9:BP22" si="20">((AP9*$Z$80)+$Y$80)*100</f>
        <v>58.126220703125</v>
      </c>
      <c r="BQ9">
        <f t="shared" ref="BQ9:BQ22" si="21">((AP9*$Z$81)+$Y$81)*100</f>
        <v>45.36181640625</v>
      </c>
      <c r="BR9">
        <f t="shared" ref="BR9:BR22" si="22">((AP9*$Z$82)+$Y$82)*100</f>
        <v>41.56494140625</v>
      </c>
      <c r="BS9">
        <f t="shared" ref="BS9:BS22" si="23">((AP9*$Z$79)+$Y$79)*100</f>
        <v>35.602050781250007</v>
      </c>
      <c r="BT9">
        <v>4000</v>
      </c>
      <c r="BU9">
        <f>((AP9*$S$80)+$R$80)*100</f>
        <v>67.470520000000008</v>
      </c>
      <c r="BV9">
        <f>((AP9*$S$81)+$R$81)*100</f>
        <v>65.998520000000013</v>
      </c>
      <c r="BW9">
        <f>((AP9*$S$82)+$R$82)*100</f>
        <v>65.149170000000012</v>
      </c>
      <c r="BX9">
        <f>((AP9*$S$79)+$R$79)*100</f>
        <v>59.42822000000001</v>
      </c>
      <c r="BY9">
        <v>4000</v>
      </c>
      <c r="BZ9">
        <f t="shared" ref="BZ9:BZ22" si="24">(2048+(3.5*AP9)+$T$80+($U$80*$T$76))/(8*1024)*100/2</f>
        <v>106.58232556152345</v>
      </c>
      <c r="CA9">
        <f t="shared" ref="CA9:CA22" si="25">(2048+(3.5*AP9)+$T$81+($U$81*$T$76))/(8*1024)*100/2</f>
        <v>101.78154736328126</v>
      </c>
      <c r="CB9">
        <f t="shared" ref="CB9:CB22" si="26">(2048+(3.5*AP9)+$T$82+($U$82*$T$76))/(8*1024)*100/2</f>
        <v>100.38234301757814</v>
      </c>
      <c r="CC9" s="148">
        <f t="shared" ref="CC9:CC22" si="27">(2048+(3.5*AP9))/(8*1024)*100/2</f>
        <v>97.94921875</v>
      </c>
    </row>
    <row r="10" spans="1:81">
      <c r="C10" t="str">
        <f>CONCATENATE(A6,B5,C5,D5)</f>
        <v>3221</v>
      </c>
      <c r="H10" t="str">
        <f>CONCATENATE(H5,I7,M7)</f>
        <v>233</v>
      </c>
      <c r="N10" s="65" t="s">
        <v>302</v>
      </c>
      <c r="O10">
        <f>'New SRA Environment'!B21</f>
        <v>1600</v>
      </c>
      <c r="Q10">
        <f>'New ERA Environment'!C21</f>
        <v>1600</v>
      </c>
      <c r="AA10" t="s">
        <v>166</v>
      </c>
      <c r="AB10">
        <v>2</v>
      </c>
      <c r="AP10">
        <v>6000</v>
      </c>
      <c r="AQ10">
        <f t="shared" si="0"/>
        <v>26.331025756361445</v>
      </c>
      <c r="AR10">
        <f t="shared" si="1"/>
        <v>14.306432083761154</v>
      </c>
      <c r="AS10">
        <f t="shared" si="2"/>
        <v>12.276681964752694</v>
      </c>
      <c r="AT10">
        <f t="shared" si="3"/>
        <v>3.3803013159692856</v>
      </c>
      <c r="AU10" s="148">
        <v>15196.59574468085</v>
      </c>
      <c r="AV10">
        <f t="shared" si="4"/>
        <v>62.650698758081113</v>
      </c>
      <c r="AW10">
        <f t="shared" si="5"/>
        <v>53.060345980260266</v>
      </c>
      <c r="AX10">
        <f t="shared" si="6"/>
        <v>47.504005721583745</v>
      </c>
      <c r="AY10">
        <f t="shared" si="7"/>
        <v>38.412934472389701</v>
      </c>
      <c r="AZ10">
        <v>6000</v>
      </c>
      <c r="BA10" s="148">
        <f t="shared" si="8"/>
        <v>122.40466162994204</v>
      </c>
      <c r="BB10" s="148">
        <f t="shared" si="9"/>
        <v>116.99556689489617</v>
      </c>
      <c r="BC10" s="148">
        <f t="shared" si="10"/>
        <v>112.28089838363016</v>
      </c>
      <c r="BD10" s="148">
        <f t="shared" si="11"/>
        <v>96.096066947677855</v>
      </c>
      <c r="BE10">
        <v>6000</v>
      </c>
      <c r="BF10" s="148">
        <f t="shared" si="12"/>
        <v>169.59349466959634</v>
      </c>
      <c r="BG10" s="148">
        <f t="shared" si="13"/>
        <v>155.13568522135415</v>
      </c>
      <c r="BH10" s="148">
        <f t="shared" si="14"/>
        <v>150.63479654947918</v>
      </c>
      <c r="BI10" s="148">
        <f t="shared" si="15"/>
        <v>143.64420572916666</v>
      </c>
      <c r="BJ10">
        <v>6000</v>
      </c>
      <c r="BK10">
        <f t="shared" si="16"/>
        <v>23.768199999999997</v>
      </c>
      <c r="BL10">
        <f t="shared" si="17"/>
        <v>20.021799999999999</v>
      </c>
      <c r="BM10">
        <f t="shared" si="18"/>
        <v>17.224450000000001</v>
      </c>
      <c r="BN10">
        <f t="shared" si="19"/>
        <v>10.1418</v>
      </c>
      <c r="BO10">
        <v>6000</v>
      </c>
      <c r="BP10">
        <f t="shared" si="20"/>
        <v>60.887344970703118</v>
      </c>
      <c r="BQ10">
        <f t="shared" si="21"/>
        <v>47.165634765625001</v>
      </c>
      <c r="BR10">
        <f t="shared" si="22"/>
        <v>43.355324707031251</v>
      </c>
      <c r="BS10">
        <f t="shared" si="23"/>
        <v>37.352661132812507</v>
      </c>
      <c r="BT10">
        <v>6000</v>
      </c>
      <c r="BU10">
        <f>((AP10*$S$80)+$R$80)*100</f>
        <v>91.207040000000021</v>
      </c>
      <c r="BV10">
        <f>((AP10*$S$81)+$R$81)*100</f>
        <v>89.110640000000018</v>
      </c>
      <c r="BW10">
        <f>((AP10*$S$82)+$R$82)*100</f>
        <v>87.797315000000012</v>
      </c>
      <c r="BX10">
        <f>((AP10*$S$79)+$R$79)*100</f>
        <v>79.298140000000018</v>
      </c>
      <c r="BY10">
        <v>6000</v>
      </c>
      <c r="BZ10">
        <f t="shared" si="24"/>
        <v>149.30693493652345</v>
      </c>
      <c r="CA10">
        <f t="shared" si="25"/>
        <v>144.50615673828128</v>
      </c>
      <c r="CB10">
        <f t="shared" si="26"/>
        <v>143.10695239257814</v>
      </c>
      <c r="CC10" s="148">
        <f t="shared" si="27"/>
        <v>140.673828125</v>
      </c>
    </row>
    <row r="11" spans="1:81">
      <c r="N11" s="65" t="s">
        <v>256</v>
      </c>
      <c r="O11">
        <f>O12/(1-0.157)</f>
        <v>1.2489530053529596</v>
      </c>
      <c r="Q11">
        <f>Q12/(1-0.157)</f>
        <v>1.2489530053529596</v>
      </c>
      <c r="R11" s="148" t="s">
        <v>86</v>
      </c>
      <c r="AA11" t="s">
        <v>167</v>
      </c>
      <c r="AB11">
        <f>IF(AB10=1,AA6,IF(AB10=2,AA7,IF(AB10=3,AA8,IF(AB10=4,AA9))))</f>
        <v>1</v>
      </c>
      <c r="AP11">
        <v>8000</v>
      </c>
      <c r="AQ11">
        <f t="shared" si="0"/>
        <v>34.858434341815261</v>
      </c>
      <c r="AR11">
        <f t="shared" si="1"/>
        <v>18.375909445014873</v>
      </c>
      <c r="AS11">
        <f t="shared" si="2"/>
        <v>16.001442619670261</v>
      </c>
      <c r="AT11">
        <f t="shared" si="3"/>
        <v>4.3657346871151663</v>
      </c>
      <c r="AU11" s="148">
        <v>22794.893617021276</v>
      </c>
      <c r="AV11">
        <f t="shared" si="4"/>
        <v>62.650798344108154</v>
      </c>
      <c r="AW11">
        <f t="shared" si="5"/>
        <v>53.060427973680355</v>
      </c>
      <c r="AX11">
        <f t="shared" si="6"/>
        <v>47.504040962111659</v>
      </c>
      <c r="AY11">
        <f t="shared" si="7"/>
        <v>38.428679296519597</v>
      </c>
      <c r="AZ11">
        <v>8000</v>
      </c>
      <c r="BA11" s="148">
        <f t="shared" si="8"/>
        <v>163.00540229402114</v>
      </c>
      <c r="BB11" s="148">
        <f t="shared" si="9"/>
        <v>155.72808267940894</v>
      </c>
      <c r="BC11" s="148">
        <f t="shared" si="10"/>
        <v>149.52656484484021</v>
      </c>
      <c r="BD11" s="148">
        <f t="shared" si="11"/>
        <v>127.93201826999902</v>
      </c>
      <c r="BE11">
        <v>8000</v>
      </c>
      <c r="BF11" s="148">
        <f t="shared" si="12"/>
        <v>210.72502848307292</v>
      </c>
      <c r="BG11" s="148">
        <f t="shared" si="13"/>
        <v>196.21617838541664</v>
      </c>
      <c r="BH11" s="148">
        <f t="shared" si="14"/>
        <v>191.70176432291669</v>
      </c>
      <c r="BI11" s="148">
        <f t="shared" si="15"/>
        <v>184.65983072916666</v>
      </c>
      <c r="BJ11">
        <v>8000</v>
      </c>
      <c r="BK11">
        <f t="shared" si="16"/>
        <v>31.5014</v>
      </c>
      <c r="BL11">
        <f t="shared" si="17"/>
        <v>26.506200000000003</v>
      </c>
      <c r="BM11">
        <f t="shared" si="18"/>
        <v>22.780900000000003</v>
      </c>
      <c r="BN11">
        <f t="shared" si="19"/>
        <v>13.384599999999999</v>
      </c>
      <c r="BO11">
        <v>8000</v>
      </c>
      <c r="BP11">
        <f t="shared" si="20"/>
        <v>63.648469238281244</v>
      </c>
      <c r="BQ11">
        <f t="shared" si="21"/>
        <v>48.969453125000008</v>
      </c>
      <c r="BR11">
        <f t="shared" si="22"/>
        <v>45.145708007812502</v>
      </c>
      <c r="BS11">
        <f t="shared" si="23"/>
        <v>39.103271484375014</v>
      </c>
      <c r="BT11">
        <v>8000</v>
      </c>
      <c r="BU11">
        <f>((AP11*$S$80)+$R$80)*100</f>
        <v>114.94356000000003</v>
      </c>
      <c r="BV11">
        <f>((AP11*$S$81)+$R$81)*100</f>
        <v>112.22276000000002</v>
      </c>
      <c r="BW11">
        <f>((AP11*$S$82)+$R$82)*100</f>
        <v>110.44546000000001</v>
      </c>
      <c r="BX11">
        <f>((AP11*$S$79)+$R$79)*100</f>
        <v>99.168060000000025</v>
      </c>
      <c r="BY11">
        <v>8000</v>
      </c>
      <c r="BZ11">
        <f t="shared" si="24"/>
        <v>192.03154431152345</v>
      </c>
      <c r="CA11">
        <f t="shared" si="25"/>
        <v>187.23076611328128</v>
      </c>
      <c r="CB11">
        <f t="shared" si="26"/>
        <v>185.83156176757814</v>
      </c>
      <c r="CC11" s="148">
        <f t="shared" si="27"/>
        <v>183.3984375</v>
      </c>
    </row>
    <row r="12" spans="1:81">
      <c r="D12" s="65" t="s">
        <v>228</v>
      </c>
      <c r="E12" s="65" t="s">
        <v>229</v>
      </c>
      <c r="F12" t="s">
        <v>86</v>
      </c>
      <c r="I12" t="s">
        <v>230</v>
      </c>
      <c r="J12" t="s">
        <v>231</v>
      </c>
      <c r="N12" s="65" t="s">
        <v>251</v>
      </c>
      <c r="O12">
        <f>((((9.4*'New SRA Environment'!B21)/28800)*AB11)/(1-0.008))*2</f>
        <v>1.0528673835125448</v>
      </c>
      <c r="Q12">
        <f>((((9.4*'New ERA Environment'!C21)/28800)*AB11)/(1-0.008))*2</f>
        <v>1.0528673835125448</v>
      </c>
      <c r="AA12" s="65" t="s">
        <v>170</v>
      </c>
      <c r="AB12" t="str">
        <f>IF(AB10=1,"light",IF(AB10=2,"average",IF(AB10=3,"heavy",IF(AB10=4,"very heavy"))))</f>
        <v>average</v>
      </c>
      <c r="AP12">
        <v>10000</v>
      </c>
      <c r="AQ12">
        <f t="shared" si="0"/>
        <v>43.385842927269074</v>
      </c>
      <c r="AR12">
        <f t="shared" si="1"/>
        <v>22.445386806268591</v>
      </c>
      <c r="AS12">
        <f t="shared" si="2"/>
        <v>19.726203274587824</v>
      </c>
      <c r="AT12">
        <f t="shared" si="3"/>
        <v>5.351168058261047</v>
      </c>
      <c r="AU12" s="148">
        <v>30393.191489361699</v>
      </c>
      <c r="AV12">
        <f t="shared" si="4"/>
        <v>62.650897930135187</v>
      </c>
      <c r="AW12">
        <f t="shared" si="5"/>
        <v>53.060509967100444</v>
      </c>
      <c r="AX12">
        <f t="shared" si="6"/>
        <v>47.504076202639574</v>
      </c>
      <c r="AY12">
        <f t="shared" si="7"/>
        <v>38.444424120649494</v>
      </c>
      <c r="AZ12">
        <v>10000</v>
      </c>
      <c r="BA12" s="148">
        <f t="shared" si="8"/>
        <v>203.60614295810024</v>
      </c>
      <c r="BB12" s="148">
        <f t="shared" si="9"/>
        <v>194.46059846392171</v>
      </c>
      <c r="BC12" s="148">
        <f t="shared" si="10"/>
        <v>186.77223130605029</v>
      </c>
      <c r="BD12" s="148">
        <f t="shared" si="11"/>
        <v>159.76796959232018</v>
      </c>
      <c r="BE12">
        <v>10000</v>
      </c>
      <c r="BF12" s="148">
        <f t="shared" si="12"/>
        <v>251.85656229654947</v>
      </c>
      <c r="BG12" s="148">
        <f t="shared" si="13"/>
        <v>237.29667154947913</v>
      </c>
      <c r="BH12" s="148">
        <f t="shared" si="14"/>
        <v>232.7687320963542</v>
      </c>
      <c r="BI12" s="148">
        <f t="shared" si="15"/>
        <v>225.67545572916666</v>
      </c>
      <c r="BJ12">
        <v>10000</v>
      </c>
      <c r="BK12">
        <f t="shared" si="16"/>
        <v>39.2346</v>
      </c>
      <c r="BL12">
        <f t="shared" si="17"/>
        <v>32.990600000000001</v>
      </c>
      <c r="BM12">
        <f t="shared" si="18"/>
        <v>28.337349999999994</v>
      </c>
      <c r="BN12">
        <f t="shared" si="19"/>
        <v>16.627400000000002</v>
      </c>
      <c r="BO12">
        <v>10000</v>
      </c>
      <c r="BP12">
        <f t="shared" si="20"/>
        <v>66.409593505859377</v>
      </c>
      <c r="BQ12">
        <f t="shared" si="21"/>
        <v>50.773271484375002</v>
      </c>
      <c r="BR12">
        <f t="shared" si="22"/>
        <v>46.936091308593753</v>
      </c>
      <c r="BS12">
        <f t="shared" si="23"/>
        <v>40.853881835937514</v>
      </c>
      <c r="BT12">
        <v>10000</v>
      </c>
      <c r="BU12">
        <f>((AP12*$S$80)+$R$80)*100</f>
        <v>138.68008000000006</v>
      </c>
      <c r="BV12">
        <f>((AP12*$S$81)+$R$81)*100</f>
        <v>135.33488000000006</v>
      </c>
      <c r="BW12">
        <f>((AP12*$S$82)+$R$82)*100</f>
        <v>133.09360500000003</v>
      </c>
      <c r="BX12">
        <f>((AP12*$S$79)+$R$79)*100</f>
        <v>119.03798000000003</v>
      </c>
      <c r="BY12">
        <v>10000</v>
      </c>
      <c r="BZ12">
        <f t="shared" si="24"/>
        <v>234.75615368652342</v>
      </c>
      <c r="CA12">
        <f t="shared" si="25"/>
        <v>229.95537548828122</v>
      </c>
      <c r="CB12">
        <f t="shared" si="26"/>
        <v>228.55617114257814</v>
      </c>
      <c r="CC12" s="148">
        <f t="shared" si="27"/>
        <v>226.123046875</v>
      </c>
    </row>
    <row r="13" spans="1:81">
      <c r="C13" t="s">
        <v>230</v>
      </c>
      <c r="D13">
        <f>IF($C$10=C20,D20,IF($C$10=C24,D24,IF($C$10=C28,D28,IF($C$10=C32,D32,IF($C$10=C34,D34,IF($C$10=C36,D36,IF($C$10=C38,D38)))))))</f>
        <v>0.44662602062481033</v>
      </c>
      <c r="H13" s="65" t="s">
        <v>228</v>
      </c>
      <c r="I13" s="111">
        <f>IF($H$10=Z38,Y38,IF($H$10=Z40,Y40,IF($H$10=Z42,Y42,IF($H$10=Z44,Y44,IF($H$10=Z46,Y46,IF($H$10=Z48,Y48,IF($H$10=Z50,Y50,IF($H$10=Z52,Y52,IF($H$10=Z54,Y54,IF($H$10=Z56,Y56,IF($H$10=Z58,Y58,IF($H$10=Z60,Y60,IF($H$10=Z62,Y62,IF($H$10=Z64,Y64,IF($H$10=Z66,Y66,IF($H$10=Z68,Y68,IF($H$10=Z70,Y70,IF($H$10=Z72,Y72))))))))))))))))))</f>
        <v>6.024396377047647E-3</v>
      </c>
      <c r="J13" s="111">
        <f>IF($H$10=Z38,AB38,IF($H$10=Z40,AB40,IF($H$10=Z42,AB42,IF($H$10=Z44,AB44,IF($H$10=Z46,AB46,IF($H$10=Z48,AB48,IF($H$10=Z50,AB50,IF($H$10=Z52,AB52,IF($H$10=Z54,AB54,IF($H$10=Z56,AB56,IF($H$10=Z58,AB58,IF($H$10=Z60,AB60,IF($H$10=Z62,AB62,IF($H$10=Z64,AB64,IF($H$10=Z66,AB66,IF($H$10=Z68,AB68,IF($H$10=Z70,AB70,IF($H$10=Z72,AB72))))))))))))))))))</f>
        <v>2.0300370332039547E-2</v>
      </c>
      <c r="N13" s="65" t="s">
        <v>328</v>
      </c>
      <c r="O13">
        <f>((0.9016*O12)-(O12-(O12*(1-Values!D6))))/(1-0.9016)</f>
        <v>9.6470044001515234</v>
      </c>
      <c r="Q13">
        <f>((0.9016*Q12)-(Q12-(Q12*(1-Values!D6))))/(1-0.9016)</f>
        <v>9.6470044001515234</v>
      </c>
      <c r="AA13" t="s">
        <v>501</v>
      </c>
      <c r="AP13">
        <v>12000</v>
      </c>
      <c r="AQ13">
        <f t="shared" si="0"/>
        <v>51.913251512722894</v>
      </c>
      <c r="AR13">
        <f t="shared" si="1"/>
        <v>26.514864167522308</v>
      </c>
      <c r="AS13">
        <f t="shared" si="2"/>
        <v>23.450963929505388</v>
      </c>
      <c r="AT13">
        <f t="shared" si="3"/>
        <v>6.3366014294069259</v>
      </c>
      <c r="AU13" s="148">
        <v>37991.48936170213</v>
      </c>
      <c r="AV13">
        <f t="shared" si="4"/>
        <v>62.650997516162228</v>
      </c>
      <c r="AW13">
        <f t="shared" si="5"/>
        <v>53.060591960520533</v>
      </c>
      <c r="AX13">
        <f t="shared" si="6"/>
        <v>47.504111443167481</v>
      </c>
      <c r="AY13">
        <f t="shared" si="7"/>
        <v>38.46016894477939</v>
      </c>
      <c r="AZ13">
        <v>12000</v>
      </c>
      <c r="BA13" s="148">
        <f t="shared" si="8"/>
        <v>244.20688362217933</v>
      </c>
      <c r="BB13" s="148">
        <f t="shared" si="9"/>
        <v>233.19311424843451</v>
      </c>
      <c r="BC13" s="148">
        <f t="shared" si="10"/>
        <v>224.01789776726034</v>
      </c>
      <c r="BD13" s="148">
        <f t="shared" si="11"/>
        <v>191.60392091464135</v>
      </c>
      <c r="BE13">
        <v>12000</v>
      </c>
      <c r="BF13" s="148">
        <f t="shared" si="12"/>
        <v>292.98809611002605</v>
      </c>
      <c r="BG13" s="148">
        <f t="shared" si="13"/>
        <v>278.37716471354162</v>
      </c>
      <c r="BH13" s="148">
        <f t="shared" si="14"/>
        <v>273.83569986979171</v>
      </c>
      <c r="BI13" s="148">
        <f t="shared" si="15"/>
        <v>266.69108072916669</v>
      </c>
      <c r="BJ13">
        <v>12000</v>
      </c>
      <c r="BK13">
        <f t="shared" si="16"/>
        <v>46.967799999999997</v>
      </c>
      <c r="BL13">
        <f t="shared" si="17"/>
        <v>39.475000000000001</v>
      </c>
      <c r="BM13">
        <f t="shared" si="18"/>
        <v>33.893799999999999</v>
      </c>
      <c r="BN13">
        <f t="shared" si="19"/>
        <v>19.870200000000001</v>
      </c>
      <c r="BO13">
        <v>12000</v>
      </c>
      <c r="BP13">
        <f t="shared" si="20"/>
        <v>69.170717773437502</v>
      </c>
      <c r="BQ13">
        <f t="shared" si="21"/>
        <v>52.577089843750016</v>
      </c>
      <c r="BR13">
        <f t="shared" si="22"/>
        <v>48.726474609375003</v>
      </c>
      <c r="BS13">
        <f t="shared" si="23"/>
        <v>42.604492187500021</v>
      </c>
      <c r="BY13">
        <v>12000</v>
      </c>
      <c r="BZ13">
        <f t="shared" si="24"/>
        <v>277.48076306152342</v>
      </c>
      <c r="CA13">
        <f t="shared" si="25"/>
        <v>272.67998486328122</v>
      </c>
      <c r="CB13">
        <f t="shared" si="26"/>
        <v>271.28078051757814</v>
      </c>
      <c r="CC13" s="148">
        <f t="shared" si="27"/>
        <v>268.84765625</v>
      </c>
    </row>
    <row r="14" spans="1:81">
      <c r="C14" t="s">
        <v>231</v>
      </c>
      <c r="D14">
        <f>IF($C$10=C21,D21,IF($C$10=C25,D25,IF($C$10=C29,D29,IF($C$10=C33,D33,IF($C$10=C35,D35,IF($C$10=C37,D37,IF($C$10=C39,D39)))))))</f>
        <v>3.125</v>
      </c>
      <c r="H14" s="65" t="s">
        <v>229</v>
      </c>
      <c r="I14" s="111">
        <f>IF($H$10=Z39,Y39,IF($H$10=Z41,Y41,IF($H$10=Z43,Y43,IF($H$10=Z45,Y45,IF($H$10=Z47,Y47,IF($H$10=Z49,Y49,IF($H$10=Z51,Y51,IF($H$10=Z53,Y53,IF($H$10=Z55,Y55,IF($H$10=Z57,Y57,IF($H$10=Z59,Y59,IF($H$10=Z61,Y61,IF($H$10=Z63,Y63,IF($H$10=Z65,Y65,IF($H$10=Z67,Y67,IF($H$10=Z69,Y69,IF($H$10=Z71,Y71,IF($H$10=Z73,Y73))))))))))))))))))</f>
        <v>0.46198893229166665</v>
      </c>
      <c r="J14" s="111">
        <f>IF($H$10=Z39,AB39,IF($H$10=Z41,AB41,IF($H$10=Z43,AB43,IF($H$10=Z45,AB45,IF($H$10=Z47,AB47,IF($H$10=Z49,AB49,IF($H$10=Z51,AB51,IF($H$10=Z53,AB53,IF($H$10=Z55,AB55,IF($H$10=Z57,AB57,IF($H$10=Z59,AB59,IF($H$10=Z61,AB61,IF($H$10=Z63,AB63,IF($H$10=Z65,AB65,IF($H$10=Z67,AB67,IF($H$10=Z69,AB69,IF($H$10=Z71,AB71,IF($H$10=Z73,AB73))))))))))))))))))</f>
        <v>2.0565766906738281E-2</v>
      </c>
      <c r="K14" t="s">
        <v>227</v>
      </c>
      <c r="M14" s="81" t="s">
        <v>249</v>
      </c>
      <c r="O14" t="s">
        <v>250</v>
      </c>
      <c r="AP14">
        <v>14000</v>
      </c>
      <c r="AQ14">
        <f t="shared" si="0"/>
        <v>60.440660098176707</v>
      </c>
      <c r="AR14">
        <f t="shared" si="1"/>
        <v>30.584341528776022</v>
      </c>
      <c r="AS14">
        <f t="shared" si="2"/>
        <v>27.175724584422952</v>
      </c>
      <c r="AT14">
        <f t="shared" si="3"/>
        <v>7.3220348005528066</v>
      </c>
      <c r="AU14" s="148">
        <v>45589.787234042553</v>
      </c>
      <c r="AV14">
        <f t="shared" si="4"/>
        <v>62.651097102189269</v>
      </c>
      <c r="AW14">
        <f t="shared" si="5"/>
        <v>53.060673953940629</v>
      </c>
      <c r="AX14">
        <f t="shared" si="6"/>
        <v>47.504146683695396</v>
      </c>
      <c r="AY14">
        <f t="shared" si="7"/>
        <v>38.475913768909294</v>
      </c>
      <c r="AZ14">
        <v>14000</v>
      </c>
      <c r="BA14" s="148">
        <f t="shared" si="8"/>
        <v>284.80762428625843</v>
      </c>
      <c r="BB14" s="148">
        <f t="shared" si="9"/>
        <v>271.92563003294731</v>
      </c>
      <c r="BC14" s="148">
        <f t="shared" si="10"/>
        <v>261.26356422847039</v>
      </c>
      <c r="BD14" s="148">
        <f t="shared" si="11"/>
        <v>223.43987223696251</v>
      </c>
      <c r="BE14">
        <v>14000</v>
      </c>
      <c r="BF14" s="148">
        <f t="shared" si="12"/>
        <v>334.1196299235026</v>
      </c>
      <c r="BG14" s="148">
        <f t="shared" si="13"/>
        <v>319.45765787760416</v>
      </c>
      <c r="BH14" s="148">
        <f t="shared" si="14"/>
        <v>314.90266764322917</v>
      </c>
      <c r="BI14" s="148">
        <f t="shared" si="15"/>
        <v>307.70670572916669</v>
      </c>
      <c r="BJ14">
        <v>14000</v>
      </c>
      <c r="BK14">
        <f t="shared" si="16"/>
        <v>54.701000000000001</v>
      </c>
      <c r="BL14">
        <f t="shared" si="17"/>
        <v>45.959400000000002</v>
      </c>
      <c r="BM14">
        <f t="shared" si="18"/>
        <v>39.450249999999997</v>
      </c>
      <c r="BN14">
        <f t="shared" si="19"/>
        <v>23.113</v>
      </c>
      <c r="BO14">
        <v>14000</v>
      </c>
      <c r="BP14">
        <f t="shared" si="20"/>
        <v>71.931842041015614</v>
      </c>
      <c r="BQ14">
        <f t="shared" si="21"/>
        <v>54.380908203125024</v>
      </c>
      <c r="BR14">
        <f t="shared" si="22"/>
        <v>50.516857910156254</v>
      </c>
      <c r="BS14">
        <f t="shared" si="23"/>
        <v>44.355102539062521</v>
      </c>
      <c r="BY14">
        <v>14000</v>
      </c>
      <c r="BZ14">
        <f t="shared" si="24"/>
        <v>320.20537243652342</v>
      </c>
      <c r="CA14">
        <f t="shared" si="25"/>
        <v>315.40459423828122</v>
      </c>
      <c r="CB14">
        <f t="shared" si="26"/>
        <v>314.00538989257814</v>
      </c>
      <c r="CC14" s="148">
        <f t="shared" si="27"/>
        <v>311.572265625</v>
      </c>
    </row>
    <row r="15" spans="1:81">
      <c r="A15" s="65" t="s">
        <v>233</v>
      </c>
      <c r="B15" t="s">
        <v>226</v>
      </c>
      <c r="C15" t="s">
        <v>234</v>
      </c>
      <c r="D15" t="s">
        <v>236</v>
      </c>
      <c r="E15" t="s">
        <v>235</v>
      </c>
      <c r="F15" s="65" t="s">
        <v>225</v>
      </c>
      <c r="G15" t="s">
        <v>226</v>
      </c>
      <c r="H15" t="s">
        <v>301</v>
      </c>
      <c r="I15" t="s">
        <v>304</v>
      </c>
      <c r="J15" t="s">
        <v>305</v>
      </c>
      <c r="K15" t="s">
        <v>299</v>
      </c>
      <c r="L15" t="s">
        <v>300</v>
      </c>
      <c r="O15" s="81" t="s">
        <v>168</v>
      </c>
      <c r="P15" s="81" t="s">
        <v>169</v>
      </c>
      <c r="Q15" t="s">
        <v>492</v>
      </c>
      <c r="R15" t="s">
        <v>493</v>
      </c>
      <c r="V15" t="s">
        <v>303</v>
      </c>
      <c r="AP15">
        <v>16000</v>
      </c>
      <c r="AQ15">
        <f t="shared" si="0"/>
        <v>68.96806868363052</v>
      </c>
      <c r="AR15">
        <f t="shared" si="1"/>
        <v>34.653818890029747</v>
      </c>
      <c r="AS15">
        <f t="shared" si="2"/>
        <v>30.900485239340519</v>
      </c>
      <c r="AT15">
        <f t="shared" si="3"/>
        <v>8.3074681716986873</v>
      </c>
      <c r="AU15" s="148">
        <v>53188.085106382976</v>
      </c>
      <c r="AV15">
        <f t="shared" si="4"/>
        <v>62.651196688216302</v>
      </c>
      <c r="AW15">
        <f t="shared" si="5"/>
        <v>53.060755947360718</v>
      </c>
      <c r="AX15">
        <f t="shared" si="6"/>
        <v>47.50418192422331</v>
      </c>
      <c r="AY15">
        <f t="shared" si="7"/>
        <v>38.49165859303919</v>
      </c>
      <c r="AZ15">
        <v>16000</v>
      </c>
      <c r="BA15" s="148">
        <f t="shared" si="8"/>
        <v>325.4083649503375</v>
      </c>
      <c r="BB15" s="148">
        <f t="shared" si="9"/>
        <v>310.65814581746008</v>
      </c>
      <c r="BC15" s="148">
        <f t="shared" si="10"/>
        <v>298.50923068968041</v>
      </c>
      <c r="BD15" s="148">
        <f t="shared" si="11"/>
        <v>255.27582355928368</v>
      </c>
      <c r="BE15">
        <v>16000</v>
      </c>
      <c r="BF15" s="148">
        <f t="shared" si="12"/>
        <v>375.25116373697921</v>
      </c>
      <c r="BG15" s="148">
        <f t="shared" si="13"/>
        <v>360.53815104166665</v>
      </c>
      <c r="BH15" s="148">
        <f t="shared" si="14"/>
        <v>355.96963541666668</v>
      </c>
      <c r="BI15" s="148">
        <f t="shared" si="15"/>
        <v>348.72233072916669</v>
      </c>
      <c r="BJ15">
        <v>16000</v>
      </c>
      <c r="BK15">
        <f t="shared" si="16"/>
        <v>62.434199999999997</v>
      </c>
      <c r="BL15">
        <f t="shared" si="17"/>
        <v>52.443799999999996</v>
      </c>
      <c r="BM15">
        <f t="shared" si="18"/>
        <v>45.006700000000002</v>
      </c>
      <c r="BN15">
        <f t="shared" si="19"/>
        <v>26.355800000000002</v>
      </c>
      <c r="BO15">
        <v>16000</v>
      </c>
      <c r="BP15">
        <f t="shared" si="20"/>
        <v>74.692966308593739</v>
      </c>
      <c r="BQ15">
        <f t="shared" si="21"/>
        <v>56.184726562500018</v>
      </c>
      <c r="BR15">
        <f t="shared" si="22"/>
        <v>52.307241210937505</v>
      </c>
      <c r="BS15">
        <f t="shared" si="23"/>
        <v>46.105712890625028</v>
      </c>
      <c r="BY15">
        <v>16000</v>
      </c>
      <c r="BZ15">
        <f t="shared" si="24"/>
        <v>362.92998181152342</v>
      </c>
      <c r="CA15">
        <f t="shared" si="25"/>
        <v>358.12920361328122</v>
      </c>
      <c r="CB15">
        <f t="shared" si="26"/>
        <v>356.72999926757814</v>
      </c>
      <c r="CC15" s="148">
        <f t="shared" si="27"/>
        <v>354.296875</v>
      </c>
    </row>
    <row r="16" spans="1:81">
      <c r="A16">
        <v>4</v>
      </c>
      <c r="B16" t="s">
        <v>87</v>
      </c>
      <c r="D16">
        <v>0.42400120253164553</v>
      </c>
      <c r="E16">
        <v>0.26355481072555209</v>
      </c>
      <c r="F16">
        <v>4</v>
      </c>
      <c r="G16" t="s">
        <v>41</v>
      </c>
      <c r="H16" t="s">
        <v>86</v>
      </c>
      <c r="I16">
        <v>3.1100732484076393E-2</v>
      </c>
      <c r="J16">
        <v>0.5882129807143569</v>
      </c>
      <c r="K16">
        <v>0.32022801959325398</v>
      </c>
      <c r="L16">
        <v>0.20597330729166669</v>
      </c>
      <c r="N16" t="s">
        <v>252</v>
      </c>
      <c r="O16">
        <f>IF($A$6=3,($O$12*Q38),IF($A$6=2,($O$12*Q40),IF($A$6=1,($O$12*Q42))))</f>
        <v>6.4899268683630522</v>
      </c>
      <c r="P16">
        <f>IF($A$6=3,($O$12*Q39),IF($A$6=2,($O$12*Q41),IF($A$6=1,($O$12*Q43))))</f>
        <v>7.9668821630675087E-5</v>
      </c>
      <c r="Q16">
        <f>IF($A$6=3,($Q$12*Q38),IF($A$6=2,($Q$12*Q40),IF($A$6=1,($Q$12*Q42))))</f>
        <v>6.4899268683630522</v>
      </c>
      <c r="R16">
        <f>IF($A$6=3,($Q$12*Q39),IF($A$6=2,($Q$12*Q41),IF($A$6=1,($Q$12*Q43))))</f>
        <v>7.9668821630675087E-5</v>
      </c>
      <c r="S16" t="s">
        <v>358</v>
      </c>
      <c r="AP16">
        <v>18000</v>
      </c>
      <c r="AQ16">
        <f t="shared" si="0"/>
        <v>77.495477269084347</v>
      </c>
      <c r="AR16">
        <f t="shared" si="1"/>
        <v>38.723296251283465</v>
      </c>
      <c r="AS16">
        <f t="shared" si="2"/>
        <v>34.625245894258086</v>
      </c>
      <c r="AT16">
        <f t="shared" si="3"/>
        <v>9.292901542844568</v>
      </c>
      <c r="AU16" s="148">
        <v>60786.382978723399</v>
      </c>
      <c r="AV16">
        <f t="shared" si="4"/>
        <v>62.651296274243343</v>
      </c>
      <c r="AW16">
        <f t="shared" si="5"/>
        <v>53.060837940780807</v>
      </c>
      <c r="AX16">
        <f t="shared" si="6"/>
        <v>47.504217164751225</v>
      </c>
      <c r="AY16">
        <f t="shared" si="7"/>
        <v>38.507403417169087</v>
      </c>
      <c r="AZ16">
        <v>18000</v>
      </c>
      <c r="BA16" s="148">
        <f t="shared" si="8"/>
        <v>366.00910561441663</v>
      </c>
      <c r="BB16" s="148">
        <f t="shared" si="9"/>
        <v>349.39066160197285</v>
      </c>
      <c r="BC16" s="148">
        <f t="shared" si="10"/>
        <v>335.75489715089049</v>
      </c>
      <c r="BD16" s="148">
        <f t="shared" si="11"/>
        <v>287.11177488160479</v>
      </c>
      <c r="BE16">
        <v>18000</v>
      </c>
      <c r="BF16" s="148">
        <f t="shared" si="12"/>
        <v>416.38269755045576</v>
      </c>
      <c r="BG16" s="148">
        <f t="shared" si="13"/>
        <v>401.61864420572914</v>
      </c>
      <c r="BH16" s="148">
        <f t="shared" si="14"/>
        <v>397.03660319010419</v>
      </c>
      <c r="BI16" s="148">
        <f t="shared" si="15"/>
        <v>389.73795572916669</v>
      </c>
      <c r="BJ16">
        <v>18000</v>
      </c>
      <c r="BK16">
        <f t="shared" si="16"/>
        <v>70.167399999999986</v>
      </c>
      <c r="BL16">
        <f t="shared" si="17"/>
        <v>58.928199999999997</v>
      </c>
      <c r="BM16">
        <f t="shared" si="18"/>
        <v>50.56315</v>
      </c>
      <c r="BN16">
        <f t="shared" si="19"/>
        <v>29.598600000000001</v>
      </c>
      <c r="BO16">
        <v>18000</v>
      </c>
      <c r="BP16">
        <f t="shared" si="20"/>
        <v>77.454090576171879</v>
      </c>
      <c r="BQ16">
        <f t="shared" si="21"/>
        <v>57.988544921875018</v>
      </c>
      <c r="BR16">
        <f t="shared" si="22"/>
        <v>54.097624511718756</v>
      </c>
      <c r="BS16">
        <f t="shared" si="23"/>
        <v>47.856323242187528</v>
      </c>
      <c r="BY16">
        <v>18000</v>
      </c>
      <c r="BZ16">
        <f t="shared" si="24"/>
        <v>405.65459118652336</v>
      </c>
      <c r="CA16">
        <f t="shared" si="25"/>
        <v>400.85381298828128</v>
      </c>
      <c r="CB16">
        <f t="shared" si="26"/>
        <v>399.45460864257814</v>
      </c>
      <c r="CC16" s="148">
        <f t="shared" si="27"/>
        <v>397.021484375</v>
      </c>
    </row>
    <row r="17" spans="1:81">
      <c r="A17">
        <v>5</v>
      </c>
      <c r="B17" t="s">
        <v>93</v>
      </c>
      <c r="D17">
        <v>0.60066598360655676</v>
      </c>
      <c r="E17">
        <v>0.30217531096437344</v>
      </c>
      <c r="F17">
        <v>5</v>
      </c>
      <c r="G17" t="s">
        <v>61</v>
      </c>
      <c r="I17">
        <v>4.9042851898256563</v>
      </c>
      <c r="J17">
        <v>7.0539970465341755</v>
      </c>
      <c r="K17">
        <v>0.34122301456285831</v>
      </c>
      <c r="L17">
        <v>0.72539592542146392</v>
      </c>
      <c r="N17" t="s">
        <v>253</v>
      </c>
      <c r="O17">
        <f>IF($E$5=2,(Q44*AB11*'New SRA Environment'!B21),0)</f>
        <v>0.33199999999999985</v>
      </c>
      <c r="P17">
        <f>IF($E$5=2,((0.0033/1600)*AB11*'New SRA Environment'!B21),0)</f>
        <v>3.3000000000000004E-3</v>
      </c>
      <c r="Q17">
        <f>IF($E$5=2,(Q44*AB11*Q10),0)</f>
        <v>0.33199999999999985</v>
      </c>
      <c r="R17">
        <f>IF($E$5=2,((0.0033/1600)*AB11*Q10),0)</f>
        <v>3.3000000000000004E-3</v>
      </c>
      <c r="S17" t="s">
        <v>359</v>
      </c>
      <c r="V17">
        <f>(K17-E17)/O10*AC11*O10</f>
        <v>0</v>
      </c>
      <c r="W17">
        <f>K17-E17</f>
        <v>3.9047703598484862E-2</v>
      </c>
      <c r="X17">
        <f>W17/O10</f>
        <v>2.440481474905304E-5</v>
      </c>
      <c r="Y17">
        <f>X17*AB11</f>
        <v>2.440481474905304E-5</v>
      </c>
      <c r="Z17">
        <f>Y17*O10</f>
        <v>3.9047703598484862E-2</v>
      </c>
      <c r="AP17">
        <v>20000</v>
      </c>
      <c r="AQ17">
        <f t="shared" si="0"/>
        <v>86.022885854538146</v>
      </c>
      <c r="AR17">
        <f t="shared" si="1"/>
        <v>42.792773612537182</v>
      </c>
      <c r="AS17">
        <f t="shared" si="2"/>
        <v>38.350006549175653</v>
      </c>
      <c r="AT17">
        <f t="shared" si="3"/>
        <v>10.278334913990447</v>
      </c>
      <c r="AZ17">
        <v>20000</v>
      </c>
      <c r="BA17" s="148">
        <f t="shared" si="8"/>
        <v>406.6098462784957</v>
      </c>
      <c r="BB17" s="148">
        <f t="shared" si="9"/>
        <v>388.12317738648562</v>
      </c>
      <c r="BC17" s="148">
        <f t="shared" si="10"/>
        <v>373.00056361210056</v>
      </c>
      <c r="BD17" s="148">
        <f t="shared" si="11"/>
        <v>318.94772620392598</v>
      </c>
      <c r="BE17">
        <v>20000</v>
      </c>
      <c r="BF17" s="148">
        <f t="shared" si="12"/>
        <v>457.51423136393231</v>
      </c>
      <c r="BG17" s="148">
        <f t="shared" si="13"/>
        <v>442.69913736979163</v>
      </c>
      <c r="BH17" s="148">
        <f t="shared" si="14"/>
        <v>438.1035709635417</v>
      </c>
      <c r="BI17" s="148">
        <f t="shared" si="15"/>
        <v>430.75358072916669</v>
      </c>
      <c r="BJ17">
        <v>20000</v>
      </c>
      <c r="BK17">
        <f t="shared" si="16"/>
        <v>77.900599999999997</v>
      </c>
      <c r="BL17">
        <f t="shared" si="17"/>
        <v>65.412599999999998</v>
      </c>
      <c r="BM17">
        <f t="shared" si="18"/>
        <v>56.119599999999991</v>
      </c>
      <c r="BN17">
        <f t="shared" si="19"/>
        <v>32.841400000000007</v>
      </c>
      <c r="BO17">
        <v>20000</v>
      </c>
      <c r="BP17">
        <f t="shared" si="20"/>
        <v>80.21521484374999</v>
      </c>
      <c r="BQ17">
        <f t="shared" si="21"/>
        <v>59.792363281250026</v>
      </c>
      <c r="BR17">
        <f t="shared" si="22"/>
        <v>55.888007812500007</v>
      </c>
      <c r="BS17">
        <f t="shared" si="23"/>
        <v>49.606933593750036</v>
      </c>
      <c r="BY17">
        <v>20000</v>
      </c>
      <c r="BZ17">
        <f t="shared" si="24"/>
        <v>448.37920056152336</v>
      </c>
      <c r="CA17">
        <f t="shared" si="25"/>
        <v>443.57842236328128</v>
      </c>
      <c r="CB17">
        <f t="shared" si="26"/>
        <v>442.17921801757808</v>
      </c>
      <c r="CC17" s="148">
        <f t="shared" si="27"/>
        <v>439.74609375</v>
      </c>
    </row>
    <row r="18" spans="1:81">
      <c r="A18">
        <v>6</v>
      </c>
      <c r="B18" t="s">
        <v>184</v>
      </c>
      <c r="D18">
        <v>1.3404841529841527</v>
      </c>
      <c r="E18">
        <v>0.30498642730088044</v>
      </c>
      <c r="F18">
        <v>6</v>
      </c>
      <c r="G18" t="s">
        <v>43</v>
      </c>
      <c r="H18" t="s">
        <v>262</v>
      </c>
      <c r="I18">
        <v>0.22127174050632897</v>
      </c>
      <c r="J18">
        <v>0.60243963770476472</v>
      </c>
      <c r="K18">
        <v>0.35542947185528395</v>
      </c>
      <c r="L18">
        <v>0.22327101934523813</v>
      </c>
      <c r="N18" t="s">
        <v>254</v>
      </c>
      <c r="O18">
        <f>IF(C5=1,T52*O12,0)</f>
        <v>0</v>
      </c>
      <c r="P18">
        <f>IF(C5=1,T54*O12,0)</f>
        <v>0</v>
      </c>
      <c r="Q18">
        <f>IF(C5=1,T52*Q12,0)</f>
        <v>0</v>
      </c>
      <c r="R18">
        <f>IF(C5=1,T54*Q12,0)</f>
        <v>0</v>
      </c>
      <c r="S18" t="s">
        <v>361</v>
      </c>
      <c r="AP18">
        <v>22000</v>
      </c>
      <c r="AQ18">
        <f t="shared" si="0"/>
        <v>94.550294439991973</v>
      </c>
      <c r="AR18">
        <f t="shared" si="1"/>
        <v>46.8622509737909</v>
      </c>
      <c r="AS18">
        <f t="shared" si="2"/>
        <v>42.074767204093213</v>
      </c>
      <c r="AT18">
        <f t="shared" si="3"/>
        <v>11.263768285136328</v>
      </c>
      <c r="AZ18">
        <v>22000</v>
      </c>
      <c r="BA18" s="148">
        <f t="shared" si="8"/>
        <v>447.21058694257482</v>
      </c>
      <c r="BB18" s="148">
        <f t="shared" si="9"/>
        <v>426.85569317099839</v>
      </c>
      <c r="BC18" s="148">
        <f t="shared" si="10"/>
        <v>410.24623007331058</v>
      </c>
      <c r="BD18" s="148">
        <f t="shared" si="11"/>
        <v>350.78367752624712</v>
      </c>
      <c r="BE18">
        <v>22000</v>
      </c>
      <c r="BF18" s="148">
        <f t="shared" si="12"/>
        <v>498.64576517740886</v>
      </c>
      <c r="BG18" s="148">
        <f t="shared" si="13"/>
        <v>483.77963053385412</v>
      </c>
      <c r="BH18" s="148">
        <f t="shared" si="14"/>
        <v>479.17053873697921</v>
      </c>
      <c r="BI18" s="148">
        <f t="shared" si="15"/>
        <v>471.76920572916669</v>
      </c>
      <c r="BJ18">
        <v>22000</v>
      </c>
      <c r="BK18">
        <f t="shared" si="16"/>
        <v>85.633799999999994</v>
      </c>
      <c r="BL18">
        <f t="shared" si="17"/>
        <v>71.897000000000006</v>
      </c>
      <c r="BM18">
        <f t="shared" si="18"/>
        <v>61.676049999999996</v>
      </c>
      <c r="BN18">
        <f t="shared" si="19"/>
        <v>36.084200000000003</v>
      </c>
      <c r="BO18">
        <v>22000</v>
      </c>
      <c r="BP18">
        <f t="shared" si="20"/>
        <v>82.976339111328116</v>
      </c>
      <c r="BQ18">
        <f t="shared" si="21"/>
        <v>61.596181640625034</v>
      </c>
      <c r="BR18">
        <f t="shared" si="22"/>
        <v>57.678391113281258</v>
      </c>
      <c r="BS18">
        <f t="shared" si="23"/>
        <v>51.357543945312536</v>
      </c>
      <c r="BY18">
        <v>22000</v>
      </c>
      <c r="BZ18">
        <f t="shared" si="24"/>
        <v>491.10380993652336</v>
      </c>
      <c r="CA18">
        <f t="shared" si="25"/>
        <v>486.30303173828128</v>
      </c>
      <c r="CB18">
        <f t="shared" si="26"/>
        <v>484.90382739257808</v>
      </c>
      <c r="CC18" s="148">
        <f t="shared" si="27"/>
        <v>482.470703125</v>
      </c>
    </row>
    <row r="19" spans="1:81">
      <c r="A19">
        <v>7</v>
      </c>
      <c r="B19" t="s">
        <v>185</v>
      </c>
      <c r="E19">
        <v>1</v>
      </c>
      <c r="F19">
        <v>7</v>
      </c>
      <c r="G19" t="s">
        <v>63</v>
      </c>
      <c r="H19" t="s">
        <v>262</v>
      </c>
      <c r="I19">
        <v>3.2115666877439502</v>
      </c>
      <c r="J19">
        <v>11.277680243402701</v>
      </c>
      <c r="K19">
        <v>0.48809849444615072</v>
      </c>
      <c r="L19">
        <v>0.52613316586143088</v>
      </c>
      <c r="N19" t="s">
        <v>255</v>
      </c>
      <c r="O19">
        <f>IF(B5=1,T51*O12,0)</f>
        <v>0</v>
      </c>
      <c r="P19">
        <f>IF(B5=1,T53*O12,0)</f>
        <v>0</v>
      </c>
      <c r="Q19">
        <f>IF(B5=1,T51*Q12,0)</f>
        <v>0</v>
      </c>
      <c r="R19">
        <f>IF(B5=1,T53*Q12,0)</f>
        <v>0</v>
      </c>
      <c r="S19" t="s">
        <v>362</v>
      </c>
      <c r="V19" t="s">
        <v>86</v>
      </c>
      <c r="AP19">
        <v>24000</v>
      </c>
      <c r="AQ19">
        <f t="shared" si="0"/>
        <v>103.07770302544579</v>
      </c>
      <c r="AR19">
        <f t="shared" si="1"/>
        <v>50.931728335044617</v>
      </c>
      <c r="AS19">
        <f t="shared" si="2"/>
        <v>45.79952785901078</v>
      </c>
      <c r="AT19">
        <f t="shared" si="3"/>
        <v>12.249201656282207</v>
      </c>
      <c r="AZ19">
        <v>24000</v>
      </c>
      <c r="BA19" s="148">
        <f t="shared" si="8"/>
        <v>487.81132760665389</v>
      </c>
      <c r="BB19" s="148">
        <f t="shared" si="9"/>
        <v>465.58820895551122</v>
      </c>
      <c r="BC19" s="148">
        <f t="shared" si="10"/>
        <v>447.49189653452066</v>
      </c>
      <c r="BD19" s="148">
        <f t="shared" si="11"/>
        <v>382.61962884856831</v>
      </c>
      <c r="BE19">
        <v>24000</v>
      </c>
      <c r="BF19" s="148">
        <f t="shared" si="12"/>
        <v>539.77729899088536</v>
      </c>
      <c r="BG19" s="148">
        <f t="shared" si="13"/>
        <v>524.86012369791661</v>
      </c>
      <c r="BH19" s="148">
        <f t="shared" si="14"/>
        <v>520.23750651041678</v>
      </c>
      <c r="BI19" s="148">
        <f t="shared" si="15"/>
        <v>512.78483072916663</v>
      </c>
      <c r="BJ19">
        <v>24000</v>
      </c>
      <c r="BK19">
        <f t="shared" si="16"/>
        <v>93.36699999999999</v>
      </c>
      <c r="BL19">
        <f t="shared" si="17"/>
        <v>78.381399999999999</v>
      </c>
      <c r="BM19">
        <f t="shared" si="18"/>
        <v>67.232500000000002</v>
      </c>
      <c r="BN19">
        <f t="shared" si="19"/>
        <v>39.327000000000005</v>
      </c>
      <c r="BO19">
        <v>24000</v>
      </c>
      <c r="BP19">
        <f t="shared" si="20"/>
        <v>85.737463378906241</v>
      </c>
      <c r="BQ19">
        <f t="shared" si="21"/>
        <v>63.400000000000034</v>
      </c>
      <c r="BR19">
        <f t="shared" si="22"/>
        <v>59.468774414062509</v>
      </c>
      <c r="BS19">
        <f t="shared" si="23"/>
        <v>53.108154296875043</v>
      </c>
      <c r="BY19">
        <v>24000</v>
      </c>
      <c r="BZ19">
        <f t="shared" si="24"/>
        <v>533.82841931152336</v>
      </c>
      <c r="CA19">
        <f t="shared" si="25"/>
        <v>529.02764111328122</v>
      </c>
      <c r="CB19">
        <f t="shared" si="26"/>
        <v>527.62843676757814</v>
      </c>
      <c r="CC19" s="148">
        <f t="shared" si="27"/>
        <v>525.1953125</v>
      </c>
    </row>
    <row r="20" spans="1:81">
      <c r="A20">
        <v>8</v>
      </c>
      <c r="B20" t="s">
        <v>88</v>
      </c>
      <c r="C20" t="s">
        <v>237</v>
      </c>
      <c r="D20">
        <v>0.44662602062481033</v>
      </c>
      <c r="E20">
        <v>0.27121310763888884</v>
      </c>
      <c r="F20">
        <v>8</v>
      </c>
      <c r="G20" t="s">
        <v>49</v>
      </c>
      <c r="H20" t="s">
        <v>263</v>
      </c>
      <c r="I20">
        <v>8.9285714285714218E-2</v>
      </c>
      <c r="J20">
        <v>0.59016651403194842</v>
      </c>
      <c r="K20">
        <v>0.36284241495253167</v>
      </c>
      <c r="L20">
        <v>0.20589545183121016</v>
      </c>
      <c r="N20" t="s">
        <v>257</v>
      </c>
      <c r="O20">
        <f>IF(D5=2,(O13+(O11-O12))*U39,0)</f>
        <v>0</v>
      </c>
      <c r="P20">
        <f>IF(D5=2,(O13+(O11-O12))*U40,0)</f>
        <v>0</v>
      </c>
      <c r="Q20">
        <f>IF(D5=1,(Q13+(Q11-Q12))*U39,0)</f>
        <v>0.24765214495331714</v>
      </c>
      <c r="R20">
        <f>IF(D5=1,(Q13+(Q11-Q12))*U40,0)</f>
        <v>4.8416425637460353E-3</v>
      </c>
      <c r="S20" t="s">
        <v>367</v>
      </c>
      <c r="Y20" s="81" t="s">
        <v>465</v>
      </c>
      <c r="AP20">
        <v>26000</v>
      </c>
      <c r="AQ20">
        <f t="shared" si="0"/>
        <v>111.60511161089958</v>
      </c>
      <c r="AR20">
        <f t="shared" si="1"/>
        <v>55.001205696298328</v>
      </c>
      <c r="AS20">
        <f t="shared" si="2"/>
        <v>49.52428851392834</v>
      </c>
      <c r="AT20">
        <f t="shared" si="3"/>
        <v>13.234635027428087</v>
      </c>
      <c r="AZ20">
        <v>26000</v>
      </c>
      <c r="BA20" s="148">
        <f t="shared" si="8"/>
        <v>528.4120682707329</v>
      </c>
      <c r="BB20" s="148">
        <f t="shared" si="9"/>
        <v>504.32072474002399</v>
      </c>
      <c r="BC20" s="148">
        <f t="shared" si="10"/>
        <v>484.73756299573068</v>
      </c>
      <c r="BD20" s="148">
        <f t="shared" si="11"/>
        <v>414.45558017088945</v>
      </c>
      <c r="BE20">
        <v>26000</v>
      </c>
      <c r="BF20" s="148">
        <f t="shared" si="12"/>
        <v>580.90883280436196</v>
      </c>
      <c r="BG20" s="148">
        <f t="shared" si="13"/>
        <v>565.94061686197904</v>
      </c>
      <c r="BH20" s="148">
        <f t="shared" si="14"/>
        <v>561.30447428385423</v>
      </c>
      <c r="BI20" s="148">
        <f t="shared" si="15"/>
        <v>553.80045572916663</v>
      </c>
      <c r="BJ20">
        <v>26000</v>
      </c>
      <c r="BK20">
        <f t="shared" si="16"/>
        <v>101.1002</v>
      </c>
      <c r="BL20">
        <f t="shared" si="17"/>
        <v>84.865800000000007</v>
      </c>
      <c r="BM20">
        <f t="shared" si="18"/>
        <v>72.78895</v>
      </c>
      <c r="BN20">
        <f t="shared" si="19"/>
        <v>42.569800000000008</v>
      </c>
      <c r="BO20">
        <v>26000</v>
      </c>
      <c r="BP20">
        <f t="shared" si="20"/>
        <v>88.498587646484367</v>
      </c>
      <c r="BQ20">
        <f t="shared" si="21"/>
        <v>65.203818359375035</v>
      </c>
      <c r="BR20">
        <f t="shared" si="22"/>
        <v>61.259157714843759</v>
      </c>
      <c r="BS20">
        <f t="shared" si="23"/>
        <v>54.85876464843755</v>
      </c>
      <c r="BY20">
        <v>26000</v>
      </c>
      <c r="BZ20">
        <f t="shared" si="24"/>
        <v>576.55302868652336</v>
      </c>
      <c r="CA20">
        <f t="shared" si="25"/>
        <v>571.75225048828122</v>
      </c>
      <c r="CB20">
        <f t="shared" si="26"/>
        <v>570.35304614257814</v>
      </c>
      <c r="CC20" s="148">
        <f t="shared" si="27"/>
        <v>567.919921875</v>
      </c>
    </row>
    <row r="21" spans="1:81">
      <c r="A21">
        <v>9</v>
      </c>
      <c r="B21" t="s">
        <v>94</v>
      </c>
      <c r="C21" t="s">
        <v>237</v>
      </c>
      <c r="D21">
        <v>3.125</v>
      </c>
      <c r="E21">
        <v>0.5297451659756347</v>
      </c>
      <c r="F21">
        <v>9</v>
      </c>
      <c r="G21" t="s">
        <v>70</v>
      </c>
      <c r="H21" t="s">
        <v>263</v>
      </c>
      <c r="I21">
        <v>2.8445352533477446</v>
      </c>
      <c r="J21">
        <v>14.300944870828127</v>
      </c>
      <c r="K21">
        <v>0.52824193156224408</v>
      </c>
      <c r="L21">
        <v>0.43769434878700658</v>
      </c>
      <c r="N21" s="79" t="s">
        <v>258</v>
      </c>
      <c r="O21">
        <f>SUM(O16:O20)/100</f>
        <v>6.8219268683630527E-2</v>
      </c>
      <c r="P21">
        <f>SUM(P16:P20)</f>
        <v>3.3796688216306756E-3</v>
      </c>
      <c r="Q21">
        <f>SUM(Q16:Q20)/100</f>
        <v>7.0695790133163697E-2</v>
      </c>
      <c r="R21">
        <f>SUM(R16:R20)</f>
        <v>8.2213113853767117E-3</v>
      </c>
      <c r="T21" t="s">
        <v>26</v>
      </c>
      <c r="U21" t="s">
        <v>208</v>
      </c>
      <c r="V21" t="s">
        <v>494</v>
      </c>
      <c r="Y21" s="80" t="s">
        <v>26</v>
      </c>
      <c r="AA21" t="s">
        <v>466</v>
      </c>
      <c r="AE21" s="80" t="s">
        <v>26</v>
      </c>
      <c r="AF21" s="80"/>
      <c r="AG21" s="80" t="s">
        <v>468</v>
      </c>
      <c r="AP21">
        <v>28000</v>
      </c>
      <c r="AQ21">
        <f t="shared" si="0"/>
        <v>120.13252019635341</v>
      </c>
      <c r="AR21">
        <f t="shared" si="1"/>
        <v>59.070683057552046</v>
      </c>
      <c r="AS21">
        <f t="shared" si="2"/>
        <v>53.249049168845907</v>
      </c>
      <c r="AT21">
        <f t="shared" si="3"/>
        <v>14.220068398573968</v>
      </c>
      <c r="AZ21">
        <v>28000</v>
      </c>
      <c r="BA21" s="148">
        <f t="shared" si="8"/>
        <v>569.01280893481203</v>
      </c>
      <c r="BB21" s="148">
        <f t="shared" si="9"/>
        <v>543.05324052453682</v>
      </c>
      <c r="BC21" s="148">
        <f t="shared" si="10"/>
        <v>521.98322945694076</v>
      </c>
      <c r="BD21" s="148">
        <f t="shared" si="11"/>
        <v>446.29153149321064</v>
      </c>
      <c r="BE21">
        <v>28000</v>
      </c>
      <c r="BF21" s="148">
        <f t="shared" si="12"/>
        <v>622.04036661783846</v>
      </c>
      <c r="BG21" s="148">
        <f t="shared" si="13"/>
        <v>607.02111002604158</v>
      </c>
      <c r="BH21" s="148">
        <f t="shared" si="14"/>
        <v>602.37144205729169</v>
      </c>
      <c r="BI21" s="148">
        <f t="shared" si="15"/>
        <v>594.81608072916663</v>
      </c>
      <c r="BJ21">
        <v>28000</v>
      </c>
      <c r="BK21">
        <f t="shared" si="16"/>
        <v>108.83340000000001</v>
      </c>
      <c r="BL21">
        <f t="shared" si="17"/>
        <v>91.350200000000001</v>
      </c>
      <c r="BM21">
        <f t="shared" si="18"/>
        <v>78.345399999999998</v>
      </c>
      <c r="BN21">
        <f t="shared" si="19"/>
        <v>45.812600000000003</v>
      </c>
      <c r="BO21">
        <v>28000</v>
      </c>
      <c r="BP21">
        <f t="shared" si="20"/>
        <v>91.259711914062493</v>
      </c>
      <c r="BQ21">
        <f t="shared" si="21"/>
        <v>67.007636718750035</v>
      </c>
      <c r="BR21">
        <f t="shared" si="22"/>
        <v>63.04954101562501</v>
      </c>
      <c r="BS21">
        <f t="shared" si="23"/>
        <v>56.60937500000005</v>
      </c>
      <c r="BY21">
        <v>28000</v>
      </c>
      <c r="BZ21">
        <f t="shared" si="24"/>
        <v>619.27763806152336</v>
      </c>
      <c r="CA21">
        <f t="shared" si="25"/>
        <v>614.47685986328122</v>
      </c>
      <c r="CB21">
        <f t="shared" si="26"/>
        <v>613.07765551757814</v>
      </c>
      <c r="CC21" s="148">
        <f t="shared" si="27"/>
        <v>610.64453125</v>
      </c>
    </row>
    <row r="22" spans="1:81">
      <c r="A22">
        <v>10</v>
      </c>
      <c r="B22" t="s">
        <v>186</v>
      </c>
      <c r="C22" t="s">
        <v>237</v>
      </c>
      <c r="D22">
        <v>10.124313639873639</v>
      </c>
      <c r="E22">
        <v>0.52247853322072069</v>
      </c>
      <c r="F22">
        <v>10</v>
      </c>
      <c r="G22" t="s">
        <v>55</v>
      </c>
      <c r="H22" t="s">
        <v>264</v>
      </c>
      <c r="J22">
        <v>0.52049472821571197</v>
      </c>
      <c r="K22">
        <v>0.27882630742310788</v>
      </c>
      <c r="L22">
        <v>0.17185236855158728</v>
      </c>
      <c r="N22" t="s">
        <v>259</v>
      </c>
      <c r="O22">
        <f>O21/Start!D17</f>
        <v>9.0959024911507369E-2</v>
      </c>
      <c r="P22">
        <f>P21/Start!F17</f>
        <v>4.5062250955075671E-3</v>
      </c>
      <c r="Q22">
        <f>Q21/Start!D17</f>
        <v>9.4261053510884929E-2</v>
      </c>
      <c r="R22">
        <f>R21/Start!F17</f>
        <v>1.0961748513835615E-2</v>
      </c>
      <c r="S22" t="s">
        <v>317</v>
      </c>
      <c r="T22">
        <f>P21/O23</f>
        <v>3.3796688216306756E-3</v>
      </c>
      <c r="U22">
        <f>P31/O33</f>
        <v>0.7910412027994792</v>
      </c>
      <c r="V22">
        <f>R21/Q23</f>
        <v>8.2213113853767117E-3</v>
      </c>
      <c r="W22" t="s">
        <v>448</v>
      </c>
      <c r="Y22" s="80" t="s">
        <v>168</v>
      </c>
      <c r="Z22" s="80" t="s">
        <v>337</v>
      </c>
      <c r="AA22" s="80" t="s">
        <v>168</v>
      </c>
      <c r="AB22" s="80" t="s">
        <v>337</v>
      </c>
      <c r="AE22" s="110">
        <f>Z33</f>
        <v>1</v>
      </c>
      <c r="AF22" s="19"/>
      <c r="AG22" s="110">
        <f>AB32</f>
        <v>1</v>
      </c>
      <c r="AH22" s="81" t="s">
        <v>467</v>
      </c>
      <c r="AP22">
        <v>30000</v>
      </c>
      <c r="AQ22">
        <f t="shared" si="0"/>
        <v>128.65992878180722</v>
      </c>
      <c r="AR22">
        <f t="shared" si="1"/>
        <v>63.140160418805756</v>
      </c>
      <c r="AS22">
        <f t="shared" si="2"/>
        <v>56.973809823763467</v>
      </c>
      <c r="AT22">
        <f t="shared" si="3"/>
        <v>15.205501769719845</v>
      </c>
      <c r="AZ22">
        <v>30000</v>
      </c>
      <c r="BA22" s="148">
        <f t="shared" si="8"/>
        <v>609.61354959889115</v>
      </c>
      <c r="BB22" s="148">
        <f t="shared" si="9"/>
        <v>581.78575630904959</v>
      </c>
      <c r="BC22" s="148">
        <f t="shared" si="10"/>
        <v>559.22889591815078</v>
      </c>
      <c r="BD22" s="148">
        <f t="shared" si="11"/>
        <v>478.12748281553178</v>
      </c>
      <c r="BE22">
        <v>30000</v>
      </c>
      <c r="BF22" s="148">
        <f t="shared" si="12"/>
        <v>663.17190043131507</v>
      </c>
      <c r="BG22" s="148">
        <f t="shared" si="13"/>
        <v>648.10160319010402</v>
      </c>
      <c r="BH22" s="148">
        <f t="shared" si="14"/>
        <v>643.43840983072926</v>
      </c>
      <c r="BI22" s="148">
        <f t="shared" si="15"/>
        <v>635.83170572916663</v>
      </c>
      <c r="BJ22">
        <v>30000</v>
      </c>
      <c r="BK22">
        <f t="shared" si="16"/>
        <v>116.56660000000001</v>
      </c>
      <c r="BL22">
        <f t="shared" si="17"/>
        <v>97.834600000000009</v>
      </c>
      <c r="BM22">
        <f t="shared" si="18"/>
        <v>83.901849999999996</v>
      </c>
      <c r="BN22">
        <f t="shared" si="19"/>
        <v>49.055400000000006</v>
      </c>
      <c r="BO22">
        <v>30000</v>
      </c>
      <c r="BP22">
        <f t="shared" si="20"/>
        <v>94.020836181640604</v>
      </c>
      <c r="BQ22">
        <f t="shared" si="21"/>
        <v>68.81145507812505</v>
      </c>
      <c r="BR22">
        <f t="shared" si="22"/>
        <v>64.839924316406268</v>
      </c>
      <c r="BS22">
        <f t="shared" si="23"/>
        <v>58.35998535156255</v>
      </c>
      <c r="BY22">
        <v>30000</v>
      </c>
      <c r="BZ22">
        <f t="shared" si="24"/>
        <v>662.00224743652336</v>
      </c>
      <c r="CA22">
        <f t="shared" si="25"/>
        <v>657.20146923828122</v>
      </c>
      <c r="CB22">
        <f t="shared" si="26"/>
        <v>655.80226489257814</v>
      </c>
      <c r="CC22" s="148">
        <f t="shared" si="27"/>
        <v>653.369140625</v>
      </c>
    </row>
    <row r="23" spans="1:81">
      <c r="A23">
        <v>11</v>
      </c>
      <c r="B23" t="s">
        <v>187</v>
      </c>
      <c r="C23" t="s">
        <v>237</v>
      </c>
      <c r="E23">
        <v>1</v>
      </c>
      <c r="F23">
        <v>11</v>
      </c>
      <c r="G23" t="s">
        <v>76</v>
      </c>
      <c r="H23" t="s">
        <v>264</v>
      </c>
      <c r="J23">
        <v>19.351153334545049</v>
      </c>
      <c r="K23">
        <v>0.52869062244062248</v>
      </c>
      <c r="L23">
        <v>0.38913807116056748</v>
      </c>
      <c r="N23" t="s">
        <v>260</v>
      </c>
      <c r="O23" s="19">
        <f>IF(O22&lt;1,1,IF(O22&gt;1,ROUNDUP(O22,0)))</f>
        <v>1</v>
      </c>
      <c r="P23" s="19">
        <f>IF(P22&lt;1,4,IF(P22&gt;1,EVEN(P22*4/O23),0))</f>
        <v>4</v>
      </c>
      <c r="Q23">
        <f>IF(Q22&lt;1,1,IF(Q22&gt;1,ROUNDUP(Q22,0)))</f>
        <v>1</v>
      </c>
      <c r="R23">
        <f>IF(R22&lt;1,4,IF(R22&gt;1,EVEN(R22*4/Q23),0))</f>
        <v>4</v>
      </c>
      <c r="S23" t="s">
        <v>316</v>
      </c>
      <c r="T23">
        <f>T22/Start!F17</f>
        <v>4.5062250955075671E-3</v>
      </c>
      <c r="U23">
        <f>U22/Start!F17</f>
        <v>1.054721603732639</v>
      </c>
      <c r="V23">
        <f>V22/Start!F17</f>
        <v>1.0961748513835615E-2</v>
      </c>
      <c r="W23" t="s">
        <v>323</v>
      </c>
      <c r="Y23">
        <f>IF($A$6=3,R38*100,IF($A$6=2,R40*100,IF($A$6=1,R42*100)))</f>
        <v>0.74880000000000002</v>
      </c>
      <c r="Z23">
        <f>IF($A$6=3,R39*100,IF($A$6=2,R41*100,IF($A$6=1,R43*100)))</f>
        <v>62.650399999999998</v>
      </c>
      <c r="AA23">
        <f>I13*100</f>
        <v>0.60243963770476472</v>
      </c>
      <c r="AB23">
        <f>I14*100</f>
        <v>46.198893229166664</v>
      </c>
      <c r="AC23" t="s">
        <v>449</v>
      </c>
      <c r="AE23" s="80" t="s">
        <v>168</v>
      </c>
      <c r="AF23" s="80" t="s">
        <v>337</v>
      </c>
      <c r="AG23" s="80" t="s">
        <v>168</v>
      </c>
      <c r="AH23" s="80" t="s">
        <v>337</v>
      </c>
      <c r="AO23" s="148" t="s">
        <v>557</v>
      </c>
      <c r="AU23" s="148" t="s">
        <v>558</v>
      </c>
    </row>
    <row r="24" spans="1:81">
      <c r="A24">
        <v>12</v>
      </c>
      <c r="B24" t="s">
        <v>91</v>
      </c>
      <c r="C24" t="s">
        <v>238</v>
      </c>
      <c r="D24">
        <v>0.40918696353224826</v>
      </c>
      <c r="E24">
        <v>0.28183840201104104</v>
      </c>
      <c r="F24">
        <v>12</v>
      </c>
      <c r="G24" t="s">
        <v>44</v>
      </c>
      <c r="H24" t="s">
        <v>265</v>
      </c>
      <c r="J24">
        <v>0.74265672183024234</v>
      </c>
      <c r="K24">
        <v>0.35644608265970035</v>
      </c>
      <c r="L24">
        <v>0.22528149801587299</v>
      </c>
      <c r="O24" s="19">
        <f>O21/O23</f>
        <v>6.8219268683630527E-2</v>
      </c>
      <c r="P24" s="19">
        <f>T22/(P23/10)</f>
        <v>8.4491720540766889E-3</v>
      </c>
      <c r="Q24">
        <f>Q21/Q23</f>
        <v>7.0695790133163697E-2</v>
      </c>
      <c r="R24" t="e">
        <f>W22/(R23/10)</f>
        <v>#VALUE!</v>
      </c>
      <c r="S24" t="s">
        <v>314</v>
      </c>
      <c r="T24">
        <f>P21/4</f>
        <v>8.4491720540766889E-4</v>
      </c>
      <c r="U24">
        <f>P31/1.6</f>
        <v>0.49440075174967446</v>
      </c>
      <c r="V24">
        <f>R21/4</f>
        <v>2.0553278463441779E-3</v>
      </c>
      <c r="W24" t="s">
        <v>318</v>
      </c>
      <c r="Y24">
        <f>IF($A$6=3,($O$12*Q38),IF($A$6=2,($O$12*Q40),IF($A$6=1,($O$12*Q42))))</f>
        <v>6.4899268683630522</v>
      </c>
      <c r="Z24">
        <f>IF($A$6=3,($O$12*Q39),IF($A$6=2,($O$12*Q41),IF($A$6=1,($O$12*Q43))))</f>
        <v>7.9668821630675087E-5</v>
      </c>
      <c r="AA24">
        <f>J13*O10*AB11</f>
        <v>32.480592531263277</v>
      </c>
      <c r="AB24">
        <f>J14*O10*AB11</f>
        <v>32.905227050781249</v>
      </c>
      <c r="AC24" t="s">
        <v>454</v>
      </c>
      <c r="AF24">
        <f>Z23+Z29/AE22</f>
        <v>62.650479668821632</v>
      </c>
      <c r="AH24">
        <f>AB23+AB28/AG22</f>
        <v>79.104120279947921</v>
      </c>
      <c r="AI24" t="s">
        <v>459</v>
      </c>
      <c r="AO24" s="148"/>
      <c r="AQ24" s="148" t="s">
        <v>540</v>
      </c>
      <c r="AR24" s="148"/>
      <c r="AS24" s="148"/>
      <c r="AT24" s="148"/>
      <c r="AU24" s="148"/>
      <c r="AV24" s="148" t="s">
        <v>545</v>
      </c>
      <c r="AW24" s="148"/>
      <c r="AX24" s="148"/>
      <c r="AY24" s="148"/>
      <c r="BD24" t="s">
        <v>86</v>
      </c>
      <c r="BE24" s="148"/>
      <c r="BF24" s="148" t="s">
        <v>547</v>
      </c>
      <c r="BG24" s="148"/>
      <c r="BH24" s="148"/>
      <c r="BI24" s="148"/>
      <c r="BO24" s="148"/>
      <c r="BP24" s="148" t="s">
        <v>549</v>
      </c>
      <c r="BQ24" s="148"/>
      <c r="BR24" s="148"/>
      <c r="BS24" s="148"/>
      <c r="BY24" s="148"/>
      <c r="BZ24" s="148" t="s">
        <v>551</v>
      </c>
      <c r="CA24" s="148"/>
      <c r="CB24" s="148"/>
      <c r="CC24" s="148"/>
    </row>
    <row r="25" spans="1:81">
      <c r="A25">
        <v>13</v>
      </c>
      <c r="B25" t="s">
        <v>103</v>
      </c>
      <c r="C25" t="s">
        <v>238</v>
      </c>
      <c r="D25">
        <v>1.9470516645849594</v>
      </c>
      <c r="E25">
        <v>0.41968453272164208</v>
      </c>
      <c r="F25">
        <v>13</v>
      </c>
      <c r="G25" t="s">
        <v>64</v>
      </c>
      <c r="H25" t="s">
        <v>265</v>
      </c>
      <c r="J25">
        <v>15.497853162342292</v>
      </c>
      <c r="K25">
        <v>0.52821213880784201</v>
      </c>
      <c r="L25">
        <v>0.426422119140625</v>
      </c>
      <c r="M25" s="81" t="s">
        <v>261</v>
      </c>
      <c r="T25">
        <f>T24/Start!F17</f>
        <v>1.1265562738768918E-3</v>
      </c>
      <c r="U25">
        <f>U24/Start!F17</f>
        <v>0.65920100233289924</v>
      </c>
      <c r="V25">
        <f>V24/Start!F17</f>
        <v>2.7404371284589038E-3</v>
      </c>
      <c r="W25" t="s">
        <v>319</v>
      </c>
      <c r="Y25">
        <f>O19</f>
        <v>0</v>
      </c>
      <c r="Z25">
        <f>P19</f>
        <v>0</v>
      </c>
      <c r="AA25">
        <f>IF(J5=1,(O10*AE45),0)</f>
        <v>0</v>
      </c>
      <c r="AB25">
        <v>0</v>
      </c>
      <c r="AC25" t="s">
        <v>452</v>
      </c>
      <c r="AF25">
        <f>AF24/Start!D23</f>
        <v>83.533972891762176</v>
      </c>
      <c r="AH25">
        <f>AH24/Start!F23</f>
        <v>105.47216037326389</v>
      </c>
      <c r="AI25" t="s">
        <v>322</v>
      </c>
      <c r="AO25" s="148"/>
      <c r="AQ25" s="148" t="s">
        <v>541</v>
      </c>
      <c r="AR25" s="148" t="s">
        <v>542</v>
      </c>
      <c r="AS25" s="148" t="s">
        <v>543</v>
      </c>
      <c r="AT25" s="148" t="s">
        <v>544</v>
      </c>
      <c r="AU25" s="148"/>
      <c r="AV25" s="148" t="s">
        <v>541</v>
      </c>
      <c r="AW25" s="148" t="s">
        <v>542</v>
      </c>
      <c r="AX25" s="148" t="s">
        <v>543</v>
      </c>
      <c r="AY25" s="148" t="s">
        <v>544</v>
      </c>
      <c r="BE25" s="148"/>
      <c r="BF25" s="148" t="s">
        <v>541</v>
      </c>
      <c r="BG25" s="148" t="s">
        <v>542</v>
      </c>
      <c r="BH25" s="148" t="s">
        <v>543</v>
      </c>
      <c r="BI25" s="148" t="s">
        <v>544</v>
      </c>
      <c r="BO25" s="148"/>
      <c r="BP25" s="148" t="s">
        <v>541</v>
      </c>
      <c r="BQ25" s="148" t="s">
        <v>542</v>
      </c>
      <c r="BR25" s="148" t="s">
        <v>543</v>
      </c>
      <c r="BS25" s="148" t="s">
        <v>544</v>
      </c>
      <c r="BY25" s="148"/>
      <c r="BZ25" s="148" t="s">
        <v>541</v>
      </c>
      <c r="CA25" s="148" t="s">
        <v>542</v>
      </c>
      <c r="CB25" s="148" t="s">
        <v>543</v>
      </c>
      <c r="CC25" s="148" t="s">
        <v>544</v>
      </c>
    </row>
    <row r="26" spans="1:81">
      <c r="A26">
        <v>14</v>
      </c>
      <c r="B26" t="s">
        <v>188</v>
      </c>
      <c r="C26" t="s">
        <v>238</v>
      </c>
      <c r="D26">
        <v>5.2455613528168366</v>
      </c>
      <c r="E26">
        <v>0.42341981040632759</v>
      </c>
      <c r="F26">
        <v>14</v>
      </c>
      <c r="G26" t="s">
        <v>50</v>
      </c>
      <c r="H26" t="s">
        <v>266</v>
      </c>
      <c r="J26">
        <v>0.79801954135781084</v>
      </c>
      <c r="K26">
        <v>0.28429983241324919</v>
      </c>
      <c r="L26">
        <v>0.79564081101190476</v>
      </c>
      <c r="N26" s="65" t="s">
        <v>280</v>
      </c>
      <c r="O26">
        <f>I13*100+(J13*'New SRA Environment'!B21*Values!AB11)</f>
        <v>33.083032168968039</v>
      </c>
      <c r="P26">
        <f>I14*100+(J14*'New SRA Environment'!B21*Values!AB11)</f>
        <v>79.104120279947921</v>
      </c>
      <c r="Q26" t="s">
        <v>440</v>
      </c>
      <c r="T26">
        <f>IF(T25&lt;1,1,IF(T25&gt;1,ROUNDUP(T25,0)))</f>
        <v>1</v>
      </c>
      <c r="U26">
        <f>IF(U25&lt;1,1,IF(U25&gt;1,ROUNDUP(U25,0)))</f>
        <v>1</v>
      </c>
      <c r="V26">
        <f>IF(V25&lt;1,1,IF(V25&gt;1,ROUNDUP(V25,0)))</f>
        <v>1</v>
      </c>
      <c r="W26" t="s">
        <v>320</v>
      </c>
      <c r="Y26">
        <f>O18</f>
        <v>0</v>
      </c>
      <c r="Z26">
        <f>P18</f>
        <v>0</v>
      </c>
      <c r="AA26">
        <f>IF(K5=1,(O10*AE46),0)</f>
        <v>0</v>
      </c>
      <c r="AB26">
        <v>0</v>
      </c>
      <c r="AC26" t="s">
        <v>453</v>
      </c>
      <c r="AF26">
        <f>Z29/(Start!D23*100-Values!Z23)</f>
        <v>6.4511256745704374E-6</v>
      </c>
      <c r="AH26">
        <f>AB28/(Start!F23*100-Values!AB23)</f>
        <v>1.1424987002271776</v>
      </c>
      <c r="AI26" t="s">
        <v>460</v>
      </c>
      <c r="AO26" s="148">
        <f t="shared" ref="AO26:AO33" si="28">(AP26/2)*0.992*28800/9.4</f>
        <v>1519.6595744680849</v>
      </c>
      <c r="AP26" s="86">
        <v>1</v>
      </c>
      <c r="AQ26" s="148">
        <f t="shared" ref="AQ26:AQ34" si="29">((((((9.4*AO26)/28800)*1)/(1-0.008))*2)*$Q$38)+($R$38*100)+($R$45*AO26)</f>
        <v>7.2281790511431199</v>
      </c>
      <c r="AR26" s="148">
        <f t="shared" ref="AR26:AR34" si="30">((((((9.4*AO26)/28800)*1)/(1-0.008))*2)*$Q$40)+($R$40*100)+($R$45*AO26)</f>
        <v>5.1901101175551654</v>
      </c>
      <c r="AS26" s="148">
        <f t="shared" ref="AS26:AS34" si="31">((((((9.4*AO26)/28800)*1)/(1-0.008))*2)*$Q$42)+($R$42*100)+($R$45*AO26)</f>
        <v>3.9325840959237461</v>
      </c>
      <c r="AT26" s="148">
        <f t="shared" ref="AT26:AT34" si="32">((((((9.4*AO26)/28800)*1)/(1-0.008))*2)*$Q$47)+($R$47*100)+($R$45*AO26)</f>
        <v>1.1727628312627449</v>
      </c>
      <c r="AU26" s="86">
        <v>1</v>
      </c>
      <c r="AV26" s="149">
        <f t="shared" ref="AV26:AY34" si="33">AV8*4/100</f>
        <v>2.5060199834410817</v>
      </c>
      <c r="AW26" s="149">
        <f t="shared" si="33"/>
        <v>2.1224072797368034</v>
      </c>
      <c r="AX26" s="149">
        <f t="shared" si="33"/>
        <v>1.9001574096211167</v>
      </c>
      <c r="AY26" s="149">
        <f t="shared" si="33"/>
        <v>1.535257792965196</v>
      </c>
      <c r="BE26" s="148">
        <v>2000</v>
      </c>
      <c r="BF26" s="86">
        <f t="shared" ref="BF26:BI40" si="34">BF8*10/100</f>
        <v>8.7330427042643244</v>
      </c>
      <c r="BG26" s="86">
        <f t="shared" si="34"/>
        <v>7.2974698893229162</v>
      </c>
      <c r="BH26" s="86">
        <f t="shared" si="34"/>
        <v>6.8500861002604161</v>
      </c>
      <c r="BI26" s="86">
        <f t="shared" si="34"/>
        <v>6.1612955729166679</v>
      </c>
      <c r="BO26" s="148">
        <v>2000</v>
      </c>
      <c r="BP26" s="148">
        <f t="shared" ref="BP26:BS40" si="35">BP8*4/100</f>
        <v>2.2146038574218752</v>
      </c>
      <c r="BQ26" s="148">
        <f t="shared" si="35"/>
        <v>1.7423199218750001</v>
      </c>
      <c r="BR26" s="148">
        <f t="shared" si="35"/>
        <v>1.59098232421875</v>
      </c>
      <c r="BS26" s="148">
        <f t="shared" si="35"/>
        <v>1.3540576171875001</v>
      </c>
      <c r="BY26" s="148">
        <v>2000</v>
      </c>
      <c r="BZ26" s="148">
        <f t="shared" ref="BZ26:CC30" si="36">BZ8*8/100</f>
        <v>5.1086172949218751</v>
      </c>
      <c r="CA26" s="148">
        <f t="shared" si="36"/>
        <v>4.7245550390624995</v>
      </c>
      <c r="CB26" s="148">
        <f t="shared" si="36"/>
        <v>4.6126186914062499</v>
      </c>
      <c r="CC26" s="148">
        <f t="shared" si="36"/>
        <v>4.41796875</v>
      </c>
    </row>
    <row r="27" spans="1:81">
      <c r="A27">
        <v>15</v>
      </c>
      <c r="B27" t="s">
        <v>189</v>
      </c>
      <c r="C27" t="s">
        <v>238</v>
      </c>
      <c r="E27">
        <v>1</v>
      </c>
      <c r="F27">
        <v>15</v>
      </c>
      <c r="G27" t="s">
        <v>71</v>
      </c>
      <c r="H27" t="s">
        <v>266</v>
      </c>
      <c r="J27">
        <v>13.328837832978722</v>
      </c>
      <c r="K27">
        <v>0.52986173762540956</v>
      </c>
      <c r="L27">
        <v>0.39443640457956414</v>
      </c>
      <c r="N27" t="s">
        <v>282</v>
      </c>
      <c r="O27">
        <f>IF(J5=1,O60,0)</f>
        <v>0</v>
      </c>
      <c r="P27">
        <f>IF(J5=1,P60,0)</f>
        <v>0</v>
      </c>
      <c r="T27">
        <f>P21/T26</f>
        <v>3.3796688216306756E-3</v>
      </c>
      <c r="U27">
        <f>P31/U26</f>
        <v>0.7910412027994792</v>
      </c>
      <c r="V27">
        <f>R21/V26</f>
        <v>8.2213113853767117E-3</v>
      </c>
      <c r="W27" t="s">
        <v>321</v>
      </c>
      <c r="X27" s="65" t="s">
        <v>147</v>
      </c>
      <c r="Y27">
        <f>IF(D5=2,(Q13+(Q11-Q12))*U39,0)</f>
        <v>0</v>
      </c>
      <c r="Z27">
        <f>IF(D5=2,(O13+(O11-O12))*U40,0)</f>
        <v>0</v>
      </c>
      <c r="AA27">
        <f>IF(N5=2,AE44,0)</f>
        <v>0</v>
      </c>
      <c r="AB27">
        <v>0</v>
      </c>
      <c r="AC27" t="s">
        <v>451</v>
      </c>
      <c r="AF27" s="110">
        <f>Z34</f>
        <v>4</v>
      </c>
      <c r="AG27" s="19"/>
      <c r="AH27" s="110">
        <f>AB33</f>
        <v>12</v>
      </c>
      <c r="AI27" t="s">
        <v>324</v>
      </c>
      <c r="AO27" s="148">
        <f t="shared" si="28"/>
        <v>7598.2978723404249</v>
      </c>
      <c r="AP27" s="86">
        <v>5</v>
      </c>
      <c r="AQ27" s="148">
        <f t="shared" si="29"/>
        <v>33.145695255715601</v>
      </c>
      <c r="AR27" s="148">
        <f t="shared" si="30"/>
        <v>17.558550587775827</v>
      </c>
      <c r="AS27" s="148">
        <f t="shared" si="31"/>
        <v>15.253320479618729</v>
      </c>
      <c r="AT27" s="148">
        <f t="shared" si="32"/>
        <v>4.1678093461871422</v>
      </c>
      <c r="AU27" s="86">
        <v>5</v>
      </c>
      <c r="AV27" s="149">
        <f t="shared" si="33"/>
        <v>2.5060239668821627</v>
      </c>
      <c r="AW27" s="149">
        <f t="shared" si="33"/>
        <v>2.1224105594736069</v>
      </c>
      <c r="AX27" s="149">
        <f t="shared" si="33"/>
        <v>1.9001588192422332</v>
      </c>
      <c r="AY27" s="149">
        <f t="shared" si="33"/>
        <v>1.535887585930392</v>
      </c>
      <c r="BE27" s="148">
        <v>4000</v>
      </c>
      <c r="BF27" s="86">
        <f t="shared" si="34"/>
        <v>12.846196085611977</v>
      </c>
      <c r="BG27" s="86">
        <f t="shared" si="34"/>
        <v>11.405519205729165</v>
      </c>
      <c r="BH27" s="86">
        <f t="shared" si="34"/>
        <v>10.956782877604169</v>
      </c>
      <c r="BI27" s="86">
        <f t="shared" si="34"/>
        <v>10.262858072916668</v>
      </c>
      <c r="BO27" s="148">
        <v>4000</v>
      </c>
      <c r="BP27" s="148">
        <f t="shared" si="35"/>
        <v>2.3250488281249999</v>
      </c>
      <c r="BQ27" s="148">
        <f t="shared" si="35"/>
        <v>1.81447265625</v>
      </c>
      <c r="BR27" s="148">
        <f t="shared" si="35"/>
        <v>1.66259765625</v>
      </c>
      <c r="BS27" s="148">
        <f t="shared" si="35"/>
        <v>1.4240820312500002</v>
      </c>
      <c r="BY27" s="148">
        <v>4000</v>
      </c>
      <c r="BZ27" s="148">
        <f t="shared" si="36"/>
        <v>8.526586044921876</v>
      </c>
      <c r="CA27" s="148">
        <f t="shared" si="36"/>
        <v>8.1425237890625013</v>
      </c>
      <c r="CB27" s="148">
        <f t="shared" si="36"/>
        <v>8.0305874414062508</v>
      </c>
      <c r="CC27" s="148">
        <f t="shared" si="36"/>
        <v>7.8359375</v>
      </c>
    </row>
    <row r="28" spans="1:81">
      <c r="A28">
        <v>16</v>
      </c>
      <c r="B28" t="s">
        <v>92</v>
      </c>
      <c r="C28" t="s">
        <v>239</v>
      </c>
      <c r="D28">
        <v>0.44540175411990685</v>
      </c>
      <c r="E28">
        <v>0.28222036210317458</v>
      </c>
      <c r="F28">
        <v>16</v>
      </c>
      <c r="G28" t="s">
        <v>56</v>
      </c>
      <c r="H28" t="s">
        <v>267</v>
      </c>
      <c r="J28">
        <v>0.62743118133458042</v>
      </c>
      <c r="K28">
        <v>0.27804459532728709</v>
      </c>
      <c r="L28">
        <v>0.17198536706349224</v>
      </c>
      <c r="N28" t="s">
        <v>281</v>
      </c>
      <c r="O28">
        <f>IF(K5=1,O65,0)</f>
        <v>0</v>
      </c>
      <c r="P28">
        <f>IF(K5=1,P65,0)</f>
        <v>0</v>
      </c>
      <c r="Q28" t="s">
        <v>340</v>
      </c>
      <c r="T28">
        <f>T27/Start!F17</f>
        <v>4.5062250955075671E-3</v>
      </c>
      <c r="U28">
        <f>U27/Start!F17</f>
        <v>1.054721603732639</v>
      </c>
      <c r="V28">
        <f>V27/Start!F17</f>
        <v>1.0961748513835615E-2</v>
      </c>
      <c r="W28" t="s">
        <v>322</v>
      </c>
      <c r="X28" s="65" t="s">
        <v>512</v>
      </c>
      <c r="Y28">
        <f>R45*O10</f>
        <v>0.33199999999999985</v>
      </c>
      <c r="AA28">
        <f>AA24-AA25-AA26+AA27</f>
        <v>32.480592531263277</v>
      </c>
      <c r="AB28">
        <f>AB24-AB25-AB26+AB27</f>
        <v>32.905227050781249</v>
      </c>
      <c r="AC28" t="s">
        <v>455</v>
      </c>
      <c r="AF28" s="110">
        <f>(Z23+(Z29/AE22))/(AF27/4)</f>
        <v>62.650479668821632</v>
      </c>
      <c r="AG28" s="19"/>
      <c r="AH28" s="110">
        <f>(AB23+AB28/AG22)/(AH27/10)</f>
        <v>65.920100233289944</v>
      </c>
      <c r="AI28" t="s">
        <v>461</v>
      </c>
      <c r="AO28" s="148">
        <f t="shared" si="28"/>
        <v>15196.59574468085</v>
      </c>
      <c r="AP28" s="86">
        <v>10</v>
      </c>
      <c r="AQ28" s="148">
        <f t="shared" si="29"/>
        <v>65.5425905114312</v>
      </c>
      <c r="AR28" s="148">
        <f t="shared" si="30"/>
        <v>33.019101175551654</v>
      </c>
      <c r="AS28" s="148">
        <f t="shared" si="31"/>
        <v>29.404240959237463</v>
      </c>
      <c r="AT28" s="148">
        <f t="shared" si="32"/>
        <v>7.911617489842639</v>
      </c>
      <c r="AU28" s="86">
        <v>10</v>
      </c>
      <c r="AV28" s="149">
        <f t="shared" si="33"/>
        <v>2.5060279503232445</v>
      </c>
      <c r="AW28" s="149">
        <f t="shared" si="33"/>
        <v>2.1224138392104108</v>
      </c>
      <c r="AX28" s="149">
        <f t="shared" si="33"/>
        <v>1.9001602288633499</v>
      </c>
      <c r="AY28" s="149">
        <f t="shared" si="33"/>
        <v>1.5365173788955879</v>
      </c>
      <c r="BE28" s="148">
        <v>6000</v>
      </c>
      <c r="BF28" s="86">
        <f t="shared" si="34"/>
        <v>16.959349466959633</v>
      </c>
      <c r="BG28" s="86">
        <f t="shared" si="34"/>
        <v>15.513568522135415</v>
      </c>
      <c r="BH28" s="86">
        <f t="shared" si="34"/>
        <v>15.063479654947919</v>
      </c>
      <c r="BI28" s="86">
        <f t="shared" si="34"/>
        <v>14.364420572916664</v>
      </c>
      <c r="BO28" s="148">
        <v>6000</v>
      </c>
      <c r="BP28" s="148">
        <f t="shared" si="35"/>
        <v>2.4354937988281247</v>
      </c>
      <c r="BQ28" s="148">
        <f t="shared" si="35"/>
        <v>1.8866253906250001</v>
      </c>
      <c r="BR28" s="148">
        <f t="shared" si="35"/>
        <v>1.73421298828125</v>
      </c>
      <c r="BS28" s="148">
        <f t="shared" si="35"/>
        <v>1.4941064453125004</v>
      </c>
      <c r="BY28" s="148">
        <v>6000</v>
      </c>
      <c r="BZ28" s="148">
        <f t="shared" si="36"/>
        <v>11.944554794921876</v>
      </c>
      <c r="CA28" s="148">
        <f t="shared" si="36"/>
        <v>11.560492539062501</v>
      </c>
      <c r="CB28" s="148">
        <f t="shared" si="36"/>
        <v>11.448556191406251</v>
      </c>
      <c r="CC28" s="148">
        <f t="shared" si="36"/>
        <v>11.25390625</v>
      </c>
    </row>
    <row r="29" spans="1:81">
      <c r="A29">
        <v>17</v>
      </c>
      <c r="B29" t="s">
        <v>104</v>
      </c>
      <c r="C29" t="s">
        <v>239</v>
      </c>
      <c r="D29">
        <v>0.56802241894353356</v>
      </c>
      <c r="E29">
        <v>0.36630651425573302</v>
      </c>
      <c r="F29">
        <v>17</v>
      </c>
      <c r="G29" t="s">
        <v>77</v>
      </c>
      <c r="H29" t="s">
        <v>267</v>
      </c>
      <c r="J29">
        <v>12.035931213396177</v>
      </c>
      <c r="K29">
        <v>0.53104864896857085</v>
      </c>
      <c r="L29">
        <v>0.34020642732319073</v>
      </c>
      <c r="N29" t="s">
        <v>283</v>
      </c>
      <c r="O29">
        <f>IF(N5=2,Q29,0)</f>
        <v>0</v>
      </c>
      <c r="P29">
        <f>IF(N5=2,R29,0)</f>
        <v>0</v>
      </c>
      <c r="Q29">
        <f>IF(H5=1,'SRA Data'!AC55,'SRA Data'!AC54)</f>
        <v>4.5672730125179122</v>
      </c>
      <c r="R29">
        <f>IF(H5=1,'SRA Data'!AD55,'SRA Data'!AD54)</f>
        <v>-2.0522589432565685E-2</v>
      </c>
      <c r="T29">
        <f>IF(P22&lt;1,4,IF(P22&gt;1,EVEN(T28*4),0))</f>
        <v>4</v>
      </c>
      <c r="U29">
        <f>IF(P32&lt;1,10,IF(P32&gt;1,EVEN(U28*10),0))</f>
        <v>12</v>
      </c>
      <c r="V29">
        <f>IF(R22&lt;1,4,IF(R22&gt;1,EVEN(V28*4),0))</f>
        <v>4</v>
      </c>
      <c r="W29" t="s">
        <v>324</v>
      </c>
      <c r="X29" s="65" t="s">
        <v>513</v>
      </c>
      <c r="Y29">
        <f>Y24-Y25-Y26+Y27+Y28</f>
        <v>6.8219268683630521</v>
      </c>
      <c r="Z29">
        <f>Z24-Z25-Z26+Z27</f>
        <v>7.9668821630675087E-5</v>
      </c>
      <c r="AA29">
        <f>ROUNDUP(AA28/(Start!D23*100-Values!AA23),0)</f>
        <v>1</v>
      </c>
      <c r="AB29">
        <f>((AB23+(AB28/AA29))/1.6)/100</f>
        <v>0.49440075174967446</v>
      </c>
      <c r="AC29" t="s">
        <v>456</v>
      </c>
      <c r="AE29" s="110">
        <f>Y23+Y29/AE22</f>
        <v>7.5707268683630522</v>
      </c>
      <c r="AF29" s="19"/>
      <c r="AG29" s="110">
        <f>AA23+AA28/AG22</f>
        <v>33.083032168968039</v>
      </c>
      <c r="AI29" t="s">
        <v>462</v>
      </c>
      <c r="AO29" s="148">
        <f t="shared" si="28"/>
        <v>22794.893617021276</v>
      </c>
      <c r="AP29" s="86">
        <v>15</v>
      </c>
      <c r="AQ29" s="148">
        <f t="shared" si="29"/>
        <v>97.939485767146806</v>
      </c>
      <c r="AR29" s="148">
        <f t="shared" si="30"/>
        <v>48.479651763327489</v>
      </c>
      <c r="AS29" s="148">
        <f t="shared" si="31"/>
        <v>43.555161438856203</v>
      </c>
      <c r="AT29" s="148">
        <f t="shared" si="32"/>
        <v>11.655425633498137</v>
      </c>
      <c r="AU29" s="86">
        <v>15</v>
      </c>
      <c r="AV29" s="149">
        <f t="shared" si="33"/>
        <v>2.506031933764326</v>
      </c>
      <c r="AW29" s="149">
        <f t="shared" si="33"/>
        <v>2.1224171189472143</v>
      </c>
      <c r="AX29" s="149">
        <f t="shared" si="33"/>
        <v>1.9001616384844664</v>
      </c>
      <c r="AY29" s="149">
        <f t="shared" si="33"/>
        <v>1.5371471718607839</v>
      </c>
      <c r="BE29" s="148">
        <v>8000</v>
      </c>
      <c r="BF29" s="86">
        <f t="shared" si="34"/>
        <v>21.072502848307291</v>
      </c>
      <c r="BG29" s="86">
        <f t="shared" si="34"/>
        <v>19.621617838541667</v>
      </c>
      <c r="BH29" s="86">
        <f t="shared" si="34"/>
        <v>19.170176432291669</v>
      </c>
      <c r="BI29" s="86">
        <f t="shared" si="34"/>
        <v>18.465983072916664</v>
      </c>
      <c r="BO29" s="148">
        <v>8000</v>
      </c>
      <c r="BP29" s="148">
        <f t="shared" si="35"/>
        <v>2.5459387695312499</v>
      </c>
      <c r="BQ29" s="148">
        <f t="shared" si="35"/>
        <v>1.9587781250000003</v>
      </c>
      <c r="BR29" s="148">
        <f t="shared" si="35"/>
        <v>1.8058283203125001</v>
      </c>
      <c r="BS29" s="148">
        <f t="shared" si="35"/>
        <v>1.5641308593750005</v>
      </c>
      <c r="BY29" s="148">
        <v>8000</v>
      </c>
      <c r="BZ29" s="148">
        <f t="shared" si="36"/>
        <v>15.362523544921876</v>
      </c>
      <c r="CA29" s="148">
        <f t="shared" si="36"/>
        <v>14.978461289062501</v>
      </c>
      <c r="CB29" s="148">
        <f t="shared" si="36"/>
        <v>14.866524941406251</v>
      </c>
      <c r="CC29" s="148">
        <f t="shared" si="36"/>
        <v>14.671875</v>
      </c>
    </row>
    <row r="30" spans="1:81">
      <c r="A30">
        <v>18</v>
      </c>
      <c r="B30" t="s">
        <v>190</v>
      </c>
      <c r="C30" t="s">
        <v>239</v>
      </c>
      <c r="D30">
        <v>4.8446552230217703</v>
      </c>
      <c r="E30">
        <v>0.37230457460260113</v>
      </c>
      <c r="F30">
        <v>18</v>
      </c>
      <c r="G30" t="s">
        <v>45</v>
      </c>
      <c r="H30" t="s">
        <v>268</v>
      </c>
      <c r="J30">
        <v>0.6970261032657552</v>
      </c>
      <c r="K30">
        <v>0.35828214338525233</v>
      </c>
      <c r="L30">
        <v>0.22222997271825395</v>
      </c>
      <c r="N30" t="s">
        <v>284</v>
      </c>
      <c r="Q30" t="s">
        <v>315</v>
      </c>
      <c r="T30" t="s">
        <v>325</v>
      </c>
      <c r="X30" s="65" t="s">
        <v>514</v>
      </c>
      <c r="Y30">
        <f>ROUNDUP(Y29/(Start!D17*100-Values!Y23),0)</f>
        <v>1</v>
      </c>
      <c r="Z30">
        <f>((Z23+(Z29/Y30))/4)/100</f>
        <v>0.15662619917205409</v>
      </c>
      <c r="AB30" t="str">
        <f>IF(AB29&lt;Start!F23,"yes","no")</f>
        <v>yes</v>
      </c>
      <c r="AC30" t="s">
        <v>457</v>
      </c>
      <c r="AO30" s="148">
        <f t="shared" si="28"/>
        <v>30393.191489361699</v>
      </c>
      <c r="AP30" s="86">
        <v>20</v>
      </c>
      <c r="AQ30" s="148">
        <f t="shared" si="29"/>
        <v>130.33638102286241</v>
      </c>
      <c r="AR30" s="148">
        <f t="shared" si="30"/>
        <v>63.940202351103309</v>
      </c>
      <c r="AS30" s="148">
        <f t="shared" si="31"/>
        <v>57.706081918474922</v>
      </c>
      <c r="AT30" s="148">
        <f t="shared" si="32"/>
        <v>15.399233777153633</v>
      </c>
      <c r="AU30" s="86">
        <v>20</v>
      </c>
      <c r="AV30" s="149">
        <f t="shared" si="33"/>
        <v>2.5060359172054074</v>
      </c>
      <c r="AW30" s="149">
        <f t="shared" si="33"/>
        <v>2.1224203986840178</v>
      </c>
      <c r="AX30" s="149">
        <f t="shared" si="33"/>
        <v>1.9001630481055829</v>
      </c>
      <c r="AY30" s="149">
        <f t="shared" si="33"/>
        <v>1.5377769648259798</v>
      </c>
      <c r="BD30" s="148" t="s">
        <v>86</v>
      </c>
      <c r="BE30" s="148">
        <v>10000</v>
      </c>
      <c r="BF30" s="86">
        <f t="shared" si="34"/>
        <v>25.185656229654946</v>
      </c>
      <c r="BG30" s="86">
        <f t="shared" si="34"/>
        <v>23.729667154947911</v>
      </c>
      <c r="BH30" s="86">
        <f t="shared" si="34"/>
        <v>23.276873209635419</v>
      </c>
      <c r="BI30" s="86">
        <f t="shared" si="34"/>
        <v>22.567545572916664</v>
      </c>
      <c r="BO30" s="148">
        <v>10000</v>
      </c>
      <c r="BP30" s="148">
        <f t="shared" si="35"/>
        <v>2.6563837402343751</v>
      </c>
      <c r="BQ30" s="148">
        <f t="shared" si="35"/>
        <v>2.0309308593750002</v>
      </c>
      <c r="BR30" s="148">
        <f t="shared" si="35"/>
        <v>1.8774436523437501</v>
      </c>
      <c r="BS30" s="148">
        <f t="shared" si="35"/>
        <v>1.6341552734375007</v>
      </c>
      <c r="BY30" s="148">
        <v>10000</v>
      </c>
      <c r="BZ30" s="148">
        <f t="shared" si="36"/>
        <v>18.780492294921874</v>
      </c>
      <c r="CA30" s="148">
        <f t="shared" si="36"/>
        <v>18.396430039062498</v>
      </c>
      <c r="CB30" s="148">
        <f t="shared" si="36"/>
        <v>18.284493691406251</v>
      </c>
      <c r="CC30" s="148">
        <f t="shared" si="36"/>
        <v>18.08984375</v>
      </c>
    </row>
    <row r="31" spans="1:81">
      <c r="A31">
        <v>19</v>
      </c>
      <c r="B31" t="s">
        <v>191</v>
      </c>
      <c r="C31" t="s">
        <v>239</v>
      </c>
      <c r="E31">
        <v>1</v>
      </c>
      <c r="F31">
        <v>19</v>
      </c>
      <c r="G31" t="s">
        <v>65</v>
      </c>
      <c r="H31" t="s">
        <v>268</v>
      </c>
      <c r="J31">
        <v>20.062654620926761</v>
      </c>
      <c r="K31">
        <v>0.53012687314445128</v>
      </c>
      <c r="L31">
        <v>0.36996122661389802</v>
      </c>
      <c r="N31" s="79" t="s">
        <v>295</v>
      </c>
      <c r="O31" s="85">
        <f>(SUM(O26:O30))/100</f>
        <v>0.33083032168968041</v>
      </c>
      <c r="P31" s="85">
        <f>(SUM(P26:P30))/100</f>
        <v>0.7910412027994792</v>
      </c>
      <c r="T31" s="81" t="s">
        <v>26</v>
      </c>
      <c r="U31" t="s">
        <v>300</v>
      </c>
      <c r="Y31" s="65" t="s">
        <v>515</v>
      </c>
      <c r="Z31" t="str">
        <f>IF(Z30&lt;Start!F17,"yes","no")</f>
        <v>yes</v>
      </c>
      <c r="AB31">
        <f>IF(AB30="yes",EVEN(((AB23+AB28)/(Start!F23*100)*10)),"you can't scale up sukka!")</f>
        <v>12</v>
      </c>
      <c r="AC31" t="s">
        <v>519</v>
      </c>
      <c r="AE31">
        <f>AE29/100</f>
        <v>7.5707268683630521E-2</v>
      </c>
      <c r="AF31">
        <f>AF28/100</f>
        <v>0.62650479668821635</v>
      </c>
      <c r="AG31">
        <f>AG29/100</f>
        <v>0.33083032168968041</v>
      </c>
      <c r="AH31">
        <f>AH28/100</f>
        <v>0.65920100233289947</v>
      </c>
      <c r="AI31" t="s">
        <v>463</v>
      </c>
      <c r="AO31" s="148">
        <f t="shared" si="28"/>
        <v>37991.48936170213</v>
      </c>
      <c r="AP31" s="86">
        <v>25</v>
      </c>
      <c r="AQ31" s="148">
        <f t="shared" si="29"/>
        <v>162.73327627857802</v>
      </c>
      <c r="AR31" s="148">
        <f t="shared" si="30"/>
        <v>79.400752938879137</v>
      </c>
      <c r="AS31" s="148">
        <f t="shared" si="31"/>
        <v>71.85700239809367</v>
      </c>
      <c r="AT31" s="148">
        <f t="shared" si="32"/>
        <v>19.143041920809132</v>
      </c>
      <c r="AU31" s="86">
        <v>25</v>
      </c>
      <c r="AV31" s="149">
        <f t="shared" si="33"/>
        <v>2.5060399006464893</v>
      </c>
      <c r="AW31" s="149">
        <f t="shared" si="33"/>
        <v>2.1224236784208212</v>
      </c>
      <c r="AX31" s="149">
        <f t="shared" si="33"/>
        <v>1.9001644577266992</v>
      </c>
      <c r="AY31" s="149">
        <f t="shared" si="33"/>
        <v>1.5384067577911755</v>
      </c>
      <c r="BE31" s="148">
        <v>12000</v>
      </c>
      <c r="BF31" s="86">
        <f t="shared" si="34"/>
        <v>29.298809611002607</v>
      </c>
      <c r="BG31" s="86">
        <f t="shared" si="34"/>
        <v>27.83771647135416</v>
      </c>
      <c r="BH31" s="86">
        <f t="shared" si="34"/>
        <v>27.383569986979172</v>
      </c>
      <c r="BI31" s="86">
        <f t="shared" si="34"/>
        <v>26.669108072916671</v>
      </c>
      <c r="BO31" s="148">
        <v>12000</v>
      </c>
      <c r="BP31" s="148">
        <f t="shared" si="35"/>
        <v>2.7668287109375003</v>
      </c>
      <c r="BQ31" s="148">
        <f t="shared" si="35"/>
        <v>2.1030835937500005</v>
      </c>
      <c r="BR31" s="148">
        <f t="shared" si="35"/>
        <v>1.9490589843750001</v>
      </c>
      <c r="BS31" s="148">
        <f t="shared" si="35"/>
        <v>1.7041796875000008</v>
      </c>
      <c r="BY31" s="148"/>
      <c r="BZ31" s="148"/>
      <c r="CA31" s="148"/>
      <c r="CB31" s="148"/>
      <c r="CC31" s="148"/>
    </row>
    <row r="32" spans="1:81">
      <c r="A32">
        <v>20</v>
      </c>
      <c r="B32" t="s">
        <v>89</v>
      </c>
      <c r="C32" t="s">
        <v>240</v>
      </c>
      <c r="D32">
        <v>0.43804910543130976</v>
      </c>
      <c r="E32">
        <v>0.2710684029160032</v>
      </c>
      <c r="F32">
        <v>20</v>
      </c>
      <c r="G32" t="s">
        <v>51</v>
      </c>
      <c r="H32" t="s">
        <v>269</v>
      </c>
      <c r="J32">
        <v>0.51495884554106242</v>
      </c>
      <c r="K32">
        <v>0.27396197875591555</v>
      </c>
      <c r="L32">
        <v>0.79155970982142854</v>
      </c>
      <c r="N32" t="s">
        <v>296</v>
      </c>
      <c r="O32">
        <f>O31/Start!D23</f>
        <v>0.44110709558624056</v>
      </c>
      <c r="P32">
        <f>P31/Start!F23</f>
        <v>1.054721603732639</v>
      </c>
      <c r="T32" s="19">
        <f>IF(T26&gt;O23,T26,O23)</f>
        <v>1</v>
      </c>
      <c r="U32">
        <f>IF(U26&gt;O33,U26,O33)</f>
        <v>1</v>
      </c>
      <c r="V32" t="s">
        <v>181</v>
      </c>
      <c r="Y32" s="65" t="s">
        <v>516</v>
      </c>
      <c r="Z32">
        <f>IF(Z31="yes",EVEN(((Z23+Z29)/(Start!F17*100)*4)),"you can't scale up sukka!")</f>
        <v>4</v>
      </c>
      <c r="AB32">
        <f>IF(AB30="no",ROUNDUP((AB28/((Start!F23*100)-AB23)/1.6),0),AA29)</f>
        <v>1</v>
      </c>
      <c r="AC32" t="s">
        <v>520</v>
      </c>
      <c r="AO32" s="148">
        <f t="shared" si="28"/>
        <v>45589.787234042553</v>
      </c>
      <c r="AP32" s="86">
        <v>30</v>
      </c>
      <c r="AQ32" s="148">
        <f t="shared" si="29"/>
        <v>195.13017153429359</v>
      </c>
      <c r="AR32" s="148">
        <f t="shared" si="30"/>
        <v>94.861303526654979</v>
      </c>
      <c r="AS32" s="148">
        <f t="shared" si="31"/>
        <v>86.007922877712403</v>
      </c>
      <c r="AT32" s="148">
        <f t="shared" si="32"/>
        <v>22.886850064464632</v>
      </c>
      <c r="AU32" s="86">
        <v>30</v>
      </c>
      <c r="AV32" s="149">
        <f t="shared" si="33"/>
        <v>2.5060438840875707</v>
      </c>
      <c r="AW32" s="149">
        <f t="shared" si="33"/>
        <v>2.1224269581576252</v>
      </c>
      <c r="AX32" s="149">
        <f t="shared" si="33"/>
        <v>1.9001658673478159</v>
      </c>
      <c r="AY32" s="149">
        <f t="shared" si="33"/>
        <v>1.5390365507563717</v>
      </c>
      <c r="BE32" s="148">
        <v>14000</v>
      </c>
      <c r="BF32" s="86">
        <f t="shared" si="34"/>
        <v>33.411962992350261</v>
      </c>
      <c r="BG32" s="86">
        <f t="shared" si="34"/>
        <v>31.945765787760415</v>
      </c>
      <c r="BH32" s="86">
        <f t="shared" si="34"/>
        <v>31.490266764322914</v>
      </c>
      <c r="BI32" s="86">
        <f t="shared" si="34"/>
        <v>30.770670572916671</v>
      </c>
      <c r="BO32" s="148">
        <v>14000</v>
      </c>
      <c r="BP32" s="148">
        <f t="shared" si="35"/>
        <v>2.8772736816406246</v>
      </c>
      <c r="BQ32" s="148">
        <f t="shared" si="35"/>
        <v>2.1752363281250009</v>
      </c>
      <c r="BR32" s="148">
        <f t="shared" si="35"/>
        <v>2.0206743164062502</v>
      </c>
      <c r="BS32" s="148">
        <f t="shared" si="35"/>
        <v>1.7742041015625007</v>
      </c>
      <c r="BY32" s="148"/>
      <c r="BZ32" s="148"/>
      <c r="CA32" s="148"/>
      <c r="CB32" s="148"/>
      <c r="CC32" s="148"/>
    </row>
    <row r="33" spans="1:81">
      <c r="A33">
        <v>21</v>
      </c>
      <c r="B33" t="s">
        <v>95</v>
      </c>
      <c r="C33" t="s">
        <v>240</v>
      </c>
      <c r="D33">
        <v>5.2471725252206793</v>
      </c>
      <c r="E33">
        <v>0.51436290694103193</v>
      </c>
      <c r="F33">
        <v>21</v>
      </c>
      <c r="G33" t="s">
        <v>72</v>
      </c>
      <c r="H33" t="s">
        <v>269</v>
      </c>
      <c r="J33">
        <v>11.579794906293387</v>
      </c>
      <c r="K33">
        <v>0.53105904643990587</v>
      </c>
      <c r="L33">
        <v>0.35464308889288648</v>
      </c>
      <c r="N33" t="s">
        <v>260</v>
      </c>
      <c r="O33">
        <f>IF(O32&lt;1,1,IF(O32&gt;1,ROUNDUP(O32,0)))</f>
        <v>1</v>
      </c>
      <c r="P33">
        <f>IF(P32&lt;1,1,IF(P32&gt;1,ROUNDUP(P32,0)))</f>
        <v>2</v>
      </c>
      <c r="T33" s="19">
        <f>O21/T32</f>
        <v>6.8219268683630527E-2</v>
      </c>
      <c r="U33">
        <f>O31/U32</f>
        <v>0.33083032168968041</v>
      </c>
      <c r="V33" t="s">
        <v>445</v>
      </c>
      <c r="Y33" s="65" t="s">
        <v>517</v>
      </c>
      <c r="Z33">
        <f>IF(Z31="no",ROUNDUP((Z29/((Start!F17*100)-Values!Z23)/4),0),Y30)</f>
        <v>1</v>
      </c>
      <c r="AB33">
        <f>EVEN(((AB28/AB32)+AB23)/(Start!F23*100)*10)</f>
        <v>12</v>
      </c>
      <c r="AC33" t="s">
        <v>521</v>
      </c>
      <c r="AO33" s="148">
        <f t="shared" si="28"/>
        <v>53188.085106382976</v>
      </c>
      <c r="AP33" s="86">
        <v>35</v>
      </c>
      <c r="AQ33" s="148">
        <f t="shared" si="29"/>
        <v>227.5270667900092</v>
      </c>
      <c r="AR33" s="148">
        <f t="shared" si="30"/>
        <v>110.32185411443079</v>
      </c>
      <c r="AS33" s="148">
        <f t="shared" si="31"/>
        <v>100.15884335733112</v>
      </c>
      <c r="AT33" s="148">
        <f t="shared" si="32"/>
        <v>26.630658208120124</v>
      </c>
      <c r="AU33" s="86">
        <v>35</v>
      </c>
      <c r="AV33" s="149">
        <f t="shared" si="33"/>
        <v>2.5060478675286522</v>
      </c>
      <c r="AW33" s="149">
        <f t="shared" si="33"/>
        <v>2.1224302378944286</v>
      </c>
      <c r="AX33" s="149">
        <f t="shared" si="33"/>
        <v>1.9001672769689324</v>
      </c>
      <c r="AY33" s="149">
        <f t="shared" si="33"/>
        <v>1.5396663437215676</v>
      </c>
      <c r="BE33" s="148">
        <v>16000</v>
      </c>
      <c r="BF33" s="86">
        <f t="shared" si="34"/>
        <v>37.525116373697919</v>
      </c>
      <c r="BG33" s="86">
        <f t="shared" si="34"/>
        <v>36.053815104166667</v>
      </c>
      <c r="BH33" s="86">
        <f t="shared" si="34"/>
        <v>35.596963541666668</v>
      </c>
      <c r="BI33" s="86">
        <f t="shared" si="34"/>
        <v>34.872233072916671</v>
      </c>
      <c r="BO33" s="148">
        <v>16000</v>
      </c>
      <c r="BP33" s="148">
        <f t="shared" si="35"/>
        <v>2.9877186523437498</v>
      </c>
      <c r="BQ33" s="148">
        <f t="shared" si="35"/>
        <v>2.2473890625000008</v>
      </c>
      <c r="BR33" s="148">
        <f t="shared" si="35"/>
        <v>2.0922896484375002</v>
      </c>
      <c r="BS33" s="148">
        <f t="shared" si="35"/>
        <v>1.8442285156250011</v>
      </c>
      <c r="BY33" s="148"/>
      <c r="BZ33" s="148"/>
      <c r="CA33" s="148"/>
      <c r="CB33" s="148"/>
      <c r="CC33" s="148"/>
    </row>
    <row r="34" spans="1:81">
      <c r="A34">
        <v>22</v>
      </c>
      <c r="B34" t="s">
        <v>90</v>
      </c>
      <c r="C34" t="s">
        <v>241</v>
      </c>
      <c r="D34">
        <v>0.684829905063291</v>
      </c>
      <c r="E34">
        <v>0.26824585346017349</v>
      </c>
      <c r="F34">
        <v>22</v>
      </c>
      <c r="G34" t="s">
        <v>57</v>
      </c>
      <c r="H34" t="s">
        <v>270</v>
      </c>
      <c r="J34">
        <v>0.50933918579788595</v>
      </c>
      <c r="K34">
        <v>0.28247455392350096</v>
      </c>
      <c r="L34">
        <v>0.17326853918650792</v>
      </c>
      <c r="O34">
        <f>O31/O33</f>
        <v>0.33083032168968041</v>
      </c>
      <c r="P34">
        <f>IF(P32&lt;1,10,IF(P32&gt;1,EVEN(P32*10)))</f>
        <v>12</v>
      </c>
      <c r="Q34" t="s">
        <v>446</v>
      </c>
      <c r="T34" s="19">
        <f>IF(O23&gt;T26,P23,T29)</f>
        <v>4</v>
      </c>
      <c r="U34">
        <f>IF(O33&gt;U26,P35,U29)</f>
        <v>12</v>
      </c>
      <c r="V34" t="s">
        <v>326</v>
      </c>
      <c r="Y34" s="65" t="s">
        <v>518</v>
      </c>
      <c r="Z34">
        <f>EVEN(((Z29/Z33)+Z23)/(Start!F17*100)*4)</f>
        <v>4</v>
      </c>
      <c r="AB34" t="s">
        <v>86</v>
      </c>
      <c r="AO34" s="148">
        <f>(AP34/2)*0.992*28800/9.4</f>
        <v>60786.382978723399</v>
      </c>
      <c r="AP34" s="86">
        <v>40</v>
      </c>
      <c r="AQ34" s="148">
        <f t="shared" si="29"/>
        <v>259.92396204572481</v>
      </c>
      <c r="AR34" s="148">
        <f t="shared" si="30"/>
        <v>125.78240470220661</v>
      </c>
      <c r="AS34" s="148">
        <f t="shared" si="31"/>
        <v>114.30976383694986</v>
      </c>
      <c r="AT34" s="148">
        <f t="shared" si="32"/>
        <v>30.37446635177562</v>
      </c>
      <c r="AU34" s="86">
        <v>40</v>
      </c>
      <c r="AV34" s="149">
        <f t="shared" si="33"/>
        <v>2.5060518509697336</v>
      </c>
      <c r="AW34" s="149">
        <f t="shared" si="33"/>
        <v>2.1224335176312321</v>
      </c>
      <c r="AX34" s="149">
        <f t="shared" si="33"/>
        <v>1.9001686865900489</v>
      </c>
      <c r="AY34" s="149">
        <f t="shared" si="33"/>
        <v>1.5402961366867636</v>
      </c>
      <c r="BE34" s="148">
        <v>18000</v>
      </c>
      <c r="BF34" s="86">
        <f t="shared" si="34"/>
        <v>41.638269755045577</v>
      </c>
      <c r="BG34" s="86">
        <f t="shared" si="34"/>
        <v>40.161864420572918</v>
      </c>
      <c r="BH34" s="86">
        <f t="shared" si="34"/>
        <v>39.703660319010417</v>
      </c>
      <c r="BI34" s="86">
        <f t="shared" si="34"/>
        <v>38.973795572916671</v>
      </c>
      <c r="BO34" s="148">
        <v>18000</v>
      </c>
      <c r="BP34" s="148">
        <f t="shared" si="35"/>
        <v>3.098163623046875</v>
      </c>
      <c r="BQ34" s="148">
        <f t="shared" si="35"/>
        <v>2.3195417968750007</v>
      </c>
      <c r="BR34" s="148">
        <f t="shared" si="35"/>
        <v>2.1639049804687502</v>
      </c>
      <c r="BS34" s="148">
        <f t="shared" si="35"/>
        <v>1.914252929687501</v>
      </c>
      <c r="BY34" s="148"/>
      <c r="BZ34" s="148"/>
      <c r="CA34" s="148"/>
      <c r="CB34" s="148"/>
      <c r="CC34" s="148"/>
    </row>
    <row r="35" spans="1:81">
      <c r="A35">
        <v>23</v>
      </c>
      <c r="B35" t="s">
        <v>96</v>
      </c>
      <c r="C35" t="s">
        <v>241</v>
      </c>
      <c r="D35">
        <v>1.7923924180327861</v>
      </c>
      <c r="E35">
        <v>0.37144726402538908</v>
      </c>
      <c r="F35">
        <v>23</v>
      </c>
      <c r="G35" t="s">
        <v>78</v>
      </c>
      <c r="H35" t="s">
        <v>270</v>
      </c>
      <c r="J35">
        <v>11.417215378735307</v>
      </c>
      <c r="K35">
        <v>0.5289651556741406</v>
      </c>
      <c r="L35">
        <v>0.34533554880242601</v>
      </c>
      <c r="P35">
        <f>EVEN(P34/P33)</f>
        <v>6</v>
      </c>
      <c r="Q35" t="s">
        <v>447</v>
      </c>
      <c r="T35" s="19">
        <f>(P21/(T34/4))/T32</f>
        <v>3.3796688216306756E-3</v>
      </c>
      <c r="U35">
        <f>(P31/(U34/10))/U32</f>
        <v>0.65920100233289936</v>
      </c>
      <c r="V35" t="s">
        <v>327</v>
      </c>
      <c r="AO35" s="148"/>
      <c r="AP35" s="150"/>
      <c r="AQ35" s="148"/>
      <c r="AR35" s="148"/>
      <c r="AS35" s="148"/>
      <c r="AT35" s="148"/>
      <c r="AU35" s="148"/>
      <c r="AV35" s="149"/>
      <c r="AW35" s="149"/>
      <c r="AX35" s="149"/>
      <c r="AY35" s="149"/>
      <c r="BE35" s="148">
        <v>20000</v>
      </c>
      <c r="BF35" s="86">
        <f t="shared" si="34"/>
        <v>45.751423136393235</v>
      </c>
      <c r="BG35" s="86">
        <f t="shared" si="34"/>
        <v>44.269913736979163</v>
      </c>
      <c r="BH35" s="86">
        <f t="shared" si="34"/>
        <v>43.810357096354174</v>
      </c>
      <c r="BI35" s="86">
        <f t="shared" si="34"/>
        <v>43.075358072916671</v>
      </c>
      <c r="BO35" s="148">
        <v>20000</v>
      </c>
      <c r="BP35" s="148">
        <f t="shared" si="35"/>
        <v>3.2086085937499997</v>
      </c>
      <c r="BQ35" s="148">
        <f t="shared" si="35"/>
        <v>2.3916945312500011</v>
      </c>
      <c r="BR35" s="148">
        <f t="shared" si="35"/>
        <v>2.2355203125000003</v>
      </c>
      <c r="BS35" s="148">
        <f t="shared" si="35"/>
        <v>1.9842773437500014</v>
      </c>
      <c r="BY35" s="148"/>
      <c r="BZ35" s="148"/>
      <c r="CA35" s="148"/>
      <c r="CB35" s="148"/>
      <c r="CC35" s="148"/>
    </row>
    <row r="36" spans="1:81">
      <c r="A36">
        <v>24</v>
      </c>
      <c r="B36" t="s">
        <v>97</v>
      </c>
      <c r="C36" t="s">
        <v>237</v>
      </c>
      <c r="D36">
        <v>0.684829905063291</v>
      </c>
      <c r="E36">
        <v>0.26824585346017349</v>
      </c>
      <c r="F36">
        <v>24</v>
      </c>
      <c r="G36" t="s">
        <v>46</v>
      </c>
      <c r="H36" t="s">
        <v>271</v>
      </c>
      <c r="J36">
        <v>0.13870238818647901</v>
      </c>
      <c r="K36">
        <v>0.35977009192626186</v>
      </c>
      <c r="L36">
        <v>0.20210286458333337</v>
      </c>
      <c r="P36">
        <f>P31/P33</f>
        <v>0.3955206013997396</v>
      </c>
      <c r="Q36" t="s">
        <v>314</v>
      </c>
      <c r="Y36" t="s">
        <v>450</v>
      </c>
      <c r="AB36" s="148" t="s">
        <v>556</v>
      </c>
      <c r="AO36" s="148"/>
      <c r="AP36" s="150"/>
      <c r="AQ36" s="148"/>
      <c r="AR36" s="148"/>
      <c r="AS36" s="148"/>
      <c r="AT36" s="148"/>
      <c r="AU36" s="148"/>
      <c r="AV36" s="149"/>
      <c r="AW36" s="149"/>
      <c r="AX36" s="149"/>
      <c r="AY36" s="149"/>
      <c r="BE36" s="148">
        <v>22000</v>
      </c>
      <c r="BF36" s="86">
        <f t="shared" si="34"/>
        <v>49.864576517740886</v>
      </c>
      <c r="BG36" s="86">
        <f t="shared" si="34"/>
        <v>48.377963053385407</v>
      </c>
      <c r="BH36" s="86">
        <f t="shared" si="34"/>
        <v>47.917053873697924</v>
      </c>
      <c r="BI36" s="86">
        <f t="shared" si="34"/>
        <v>47.176920572916671</v>
      </c>
      <c r="BO36" s="148">
        <v>22000</v>
      </c>
      <c r="BP36" s="148">
        <f t="shared" si="35"/>
        <v>3.3190535644531245</v>
      </c>
      <c r="BQ36" s="148">
        <f t="shared" si="35"/>
        <v>2.4638472656250014</v>
      </c>
      <c r="BR36" s="148">
        <f t="shared" si="35"/>
        <v>2.3071356445312503</v>
      </c>
      <c r="BS36" s="148">
        <f t="shared" si="35"/>
        <v>2.0543017578125014</v>
      </c>
      <c r="BY36" s="148"/>
      <c r="BZ36" s="148"/>
      <c r="CA36" s="148"/>
      <c r="CB36" s="148"/>
      <c r="CC36" s="148"/>
    </row>
    <row r="37" spans="1:81">
      <c r="A37">
        <v>25</v>
      </c>
      <c r="B37" t="s">
        <v>192</v>
      </c>
      <c r="C37" t="s">
        <v>237</v>
      </c>
      <c r="D37">
        <v>1.6886125935336331</v>
      </c>
      <c r="E37">
        <v>0.37097772277227725</v>
      </c>
      <c r="F37">
        <v>25</v>
      </c>
      <c r="G37" t="s">
        <v>66</v>
      </c>
      <c r="H37" t="s">
        <v>271</v>
      </c>
      <c r="J37">
        <v>11.276222414521554</v>
      </c>
      <c r="K37">
        <v>0.53084629818028262</v>
      </c>
      <c r="L37">
        <v>0.44892843146073191</v>
      </c>
      <c r="P37" s="103" t="s">
        <v>357</v>
      </c>
      <c r="Q37" s="112" t="s">
        <v>464</v>
      </c>
      <c r="R37" s="112" t="s">
        <v>449</v>
      </c>
      <c r="S37" s="104"/>
      <c r="T37" s="104"/>
      <c r="U37" s="104"/>
      <c r="V37" s="104"/>
      <c r="W37" s="104" t="s">
        <v>443</v>
      </c>
      <c r="X37" s="104"/>
      <c r="Y37" s="104" t="s">
        <v>441</v>
      </c>
      <c r="Z37" s="104" t="s">
        <v>444</v>
      </c>
      <c r="AA37" s="104"/>
      <c r="AB37" s="104" t="s">
        <v>442</v>
      </c>
      <c r="AC37" s="106"/>
      <c r="AO37" s="148"/>
      <c r="AP37" s="150"/>
      <c r="AQ37" s="148"/>
      <c r="AR37" s="148"/>
      <c r="AS37" s="148"/>
      <c r="AT37" s="148"/>
      <c r="AU37" s="148"/>
      <c r="AV37" s="149"/>
      <c r="AW37" s="149"/>
      <c r="AX37" s="149"/>
      <c r="AY37" s="149"/>
      <c r="BE37" s="148">
        <v>24000</v>
      </c>
      <c r="BF37" s="86">
        <f t="shared" si="34"/>
        <v>53.977729899088537</v>
      </c>
      <c r="BG37" s="86">
        <f t="shared" si="34"/>
        <v>52.486012369791659</v>
      </c>
      <c r="BH37" s="86">
        <f t="shared" si="34"/>
        <v>52.023750651041681</v>
      </c>
      <c r="BI37" s="86">
        <f t="shared" si="34"/>
        <v>51.278483072916657</v>
      </c>
      <c r="BO37" s="148">
        <v>24000</v>
      </c>
      <c r="BP37" s="148">
        <f t="shared" si="35"/>
        <v>3.4294985351562497</v>
      </c>
      <c r="BQ37" s="148">
        <f t="shared" si="35"/>
        <v>2.5360000000000014</v>
      </c>
      <c r="BR37" s="148">
        <f t="shared" si="35"/>
        <v>2.3787509765625003</v>
      </c>
      <c r="BS37" s="148">
        <f t="shared" si="35"/>
        <v>2.1243261718750017</v>
      </c>
      <c r="BY37" s="148"/>
      <c r="BZ37" s="148"/>
      <c r="CA37" s="148"/>
      <c r="CB37" s="148"/>
      <c r="CC37" s="148"/>
    </row>
    <row r="38" spans="1:81">
      <c r="A38">
        <v>26</v>
      </c>
      <c r="B38" t="s">
        <v>105</v>
      </c>
      <c r="C38" t="s">
        <v>242</v>
      </c>
      <c r="D38">
        <v>0.57728443037974653</v>
      </c>
      <c r="E38">
        <v>0.28386854298107256</v>
      </c>
      <c r="F38">
        <v>26</v>
      </c>
      <c r="G38" t="s">
        <v>52</v>
      </c>
      <c r="H38" t="s">
        <v>272</v>
      </c>
      <c r="J38">
        <v>0.50556676948977963</v>
      </c>
      <c r="K38">
        <v>0.27466744504140383</v>
      </c>
      <c r="L38">
        <v>0.16504340277777771</v>
      </c>
      <c r="P38" s="105" t="s">
        <v>342</v>
      </c>
      <c r="Q38" s="106">
        <v>6.1640496894409926</v>
      </c>
      <c r="R38" s="106">
        <v>7.4879999999999999E-3</v>
      </c>
      <c r="S38" s="106" t="s">
        <v>363</v>
      </c>
      <c r="T38" s="106"/>
      <c r="U38" s="106">
        <v>9.6049999999999998E-4</v>
      </c>
      <c r="V38" s="106"/>
      <c r="W38" s="106">
        <v>2</v>
      </c>
      <c r="X38" s="106" t="s">
        <v>368</v>
      </c>
      <c r="Y38">
        <v>6.024396377047647E-3</v>
      </c>
      <c r="Z38" t="s">
        <v>262</v>
      </c>
      <c r="AA38" s="106" t="s">
        <v>369</v>
      </c>
      <c r="AB38" s="148">
        <v>2.0300370332039547E-2</v>
      </c>
      <c r="AO38" s="148"/>
      <c r="AP38" s="150"/>
      <c r="AQ38" s="148"/>
      <c r="AR38" s="148"/>
      <c r="AS38" s="148"/>
      <c r="AT38" s="148"/>
      <c r="AU38" s="148"/>
      <c r="AV38" s="149"/>
      <c r="AW38" s="149"/>
      <c r="AX38" s="149"/>
      <c r="AY38" s="149"/>
      <c r="BE38" s="148">
        <v>26000</v>
      </c>
      <c r="BF38" s="86">
        <f t="shared" si="34"/>
        <v>58.090883280436195</v>
      </c>
      <c r="BG38" s="86">
        <f t="shared" si="34"/>
        <v>56.594061686197904</v>
      </c>
      <c r="BH38" s="86">
        <f t="shared" si="34"/>
        <v>56.130447428385423</v>
      </c>
      <c r="BI38" s="86">
        <f t="shared" si="34"/>
        <v>55.380045572916657</v>
      </c>
      <c r="BO38" s="148">
        <v>26000</v>
      </c>
      <c r="BP38" s="148">
        <f t="shared" si="35"/>
        <v>3.5399435058593749</v>
      </c>
      <c r="BQ38" s="148">
        <f t="shared" si="35"/>
        <v>2.6081527343750013</v>
      </c>
      <c r="BR38" s="148">
        <f t="shared" si="35"/>
        <v>2.4503663085937504</v>
      </c>
      <c r="BS38" s="148">
        <f t="shared" si="35"/>
        <v>2.1943505859375021</v>
      </c>
      <c r="BY38" s="148"/>
      <c r="BZ38" s="148"/>
      <c r="CA38" s="148"/>
      <c r="CB38" s="148"/>
      <c r="CC38" s="148"/>
    </row>
    <row r="39" spans="1:81">
      <c r="A39">
        <v>27</v>
      </c>
      <c r="B39" t="s">
        <v>193</v>
      </c>
      <c r="C39" t="s">
        <v>242</v>
      </c>
      <c r="D39">
        <v>2.2851884266886313</v>
      </c>
      <c r="E39">
        <v>0.37067539544753081</v>
      </c>
      <c r="F39">
        <v>27</v>
      </c>
      <c r="G39" t="s">
        <v>73</v>
      </c>
      <c r="H39" t="s">
        <v>272</v>
      </c>
      <c r="J39">
        <v>11.045717032875311</v>
      </c>
      <c r="K39">
        <v>0.53096406953828823</v>
      </c>
      <c r="L39">
        <v>0.42939421001233552</v>
      </c>
      <c r="P39" s="105" t="s">
        <v>343</v>
      </c>
      <c r="Q39" s="106">
        <v>7.5668429736028427E-5</v>
      </c>
      <c r="R39" s="106">
        <v>0.62650399999999995</v>
      </c>
      <c r="S39" s="106" t="s">
        <v>364</v>
      </c>
      <c r="T39" s="106"/>
      <c r="U39" s="106">
        <v>2.5159999999999998E-2</v>
      </c>
      <c r="V39" s="106"/>
      <c r="W39" s="106">
        <v>2</v>
      </c>
      <c r="X39" s="106" t="s">
        <v>370</v>
      </c>
      <c r="Y39" s="148">
        <v>0.46198893229166665</v>
      </c>
      <c r="Z39" t="s">
        <v>262</v>
      </c>
      <c r="AA39" s="106" t="s">
        <v>371</v>
      </c>
      <c r="AB39">
        <v>2.0565766906738281E-2</v>
      </c>
      <c r="AC39" s="148"/>
      <c r="AD39" s="106" t="s">
        <v>451</v>
      </c>
      <c r="AO39" s="148"/>
      <c r="AP39" s="150"/>
      <c r="AQ39" s="148"/>
      <c r="AR39" s="148"/>
      <c r="AS39" s="148"/>
      <c r="AT39" s="148"/>
      <c r="AU39" s="148"/>
      <c r="AV39" s="149"/>
      <c r="AW39" s="149"/>
      <c r="AX39" s="149"/>
      <c r="AY39" s="149"/>
      <c r="BE39" s="148">
        <v>28000</v>
      </c>
      <c r="BF39" s="86">
        <f t="shared" si="34"/>
        <v>62.204036661783846</v>
      </c>
      <c r="BG39" s="86">
        <f t="shared" si="34"/>
        <v>60.702111002604163</v>
      </c>
      <c r="BH39" s="86">
        <f t="shared" si="34"/>
        <v>60.237144205729166</v>
      </c>
      <c r="BI39" s="86">
        <f t="shared" si="34"/>
        <v>59.481608072916657</v>
      </c>
      <c r="BO39" s="148">
        <v>28000</v>
      </c>
      <c r="BP39" s="148">
        <f t="shared" si="35"/>
        <v>3.6503884765624997</v>
      </c>
      <c r="BQ39" s="148">
        <f t="shared" si="35"/>
        <v>2.6803054687500012</v>
      </c>
      <c r="BR39" s="148">
        <f t="shared" si="35"/>
        <v>2.5219816406250004</v>
      </c>
      <c r="BS39" s="148">
        <f t="shared" si="35"/>
        <v>2.264375000000002</v>
      </c>
      <c r="BY39" s="148"/>
      <c r="BZ39" s="148"/>
      <c r="CA39" s="148"/>
      <c r="CB39" s="148"/>
      <c r="CC39" s="148"/>
    </row>
    <row r="40" spans="1:81">
      <c r="A40">
        <v>28</v>
      </c>
      <c r="B40" t="s">
        <v>98</v>
      </c>
      <c r="C40" t="s">
        <v>243</v>
      </c>
      <c r="D40">
        <v>0.42674134010716797</v>
      </c>
      <c r="E40">
        <v>0.27433810763888888</v>
      </c>
      <c r="F40">
        <v>28</v>
      </c>
      <c r="G40" t="s">
        <v>58</v>
      </c>
      <c r="H40" t="s">
        <v>273</v>
      </c>
      <c r="J40">
        <v>0.51182235416384603</v>
      </c>
      <c r="K40">
        <v>0.2819369824526814</v>
      </c>
      <c r="L40">
        <v>0.16826419890873048</v>
      </c>
      <c r="P40" s="105" t="s">
        <v>344</v>
      </c>
      <c r="Q40" s="106">
        <v>2.776780755853038</v>
      </c>
      <c r="R40" s="106">
        <v>2.0979999999999999E-2</v>
      </c>
      <c r="S40" s="106" t="s">
        <v>365</v>
      </c>
      <c r="T40" s="106"/>
      <c r="U40" s="106">
        <v>4.9188238174481677E-4</v>
      </c>
      <c r="V40" s="106"/>
      <c r="W40" s="106">
        <v>3</v>
      </c>
      <c r="X40" s="106" t="s">
        <v>372</v>
      </c>
      <c r="Y40">
        <v>5.9016651403194838E-3</v>
      </c>
      <c r="Z40" t="s">
        <v>263</v>
      </c>
      <c r="AA40" s="106" t="s">
        <v>373</v>
      </c>
      <c r="AB40" s="148">
        <v>1.9676466034335056E-2</v>
      </c>
      <c r="AC40" s="148"/>
      <c r="AD40" s="106"/>
      <c r="AF40" s="106"/>
      <c r="AO40" s="148"/>
      <c r="AP40" s="150"/>
      <c r="AQ40" s="148"/>
      <c r="AR40" s="148"/>
      <c r="AS40" s="148"/>
      <c r="AT40" s="148"/>
      <c r="AU40" s="148"/>
      <c r="AV40" s="149"/>
      <c r="AW40" s="149"/>
      <c r="AX40" s="149"/>
      <c r="AY40" s="149"/>
      <c r="BE40" s="148">
        <v>30000</v>
      </c>
      <c r="BF40" s="86">
        <f t="shared" si="34"/>
        <v>66.317190043131504</v>
      </c>
      <c r="BG40" s="86">
        <f t="shared" si="34"/>
        <v>64.810160319010407</v>
      </c>
      <c r="BH40" s="86">
        <f t="shared" si="34"/>
        <v>64.343840983072923</v>
      </c>
      <c r="BI40" s="86">
        <f t="shared" si="34"/>
        <v>63.583170572916657</v>
      </c>
      <c r="BO40" s="148">
        <v>30000</v>
      </c>
      <c r="BP40" s="148">
        <f t="shared" si="35"/>
        <v>3.760833447265624</v>
      </c>
      <c r="BQ40" s="148">
        <f t="shared" si="35"/>
        <v>2.752458203125002</v>
      </c>
      <c r="BR40" s="148">
        <f t="shared" si="35"/>
        <v>2.5935969726562509</v>
      </c>
      <c r="BS40" s="148">
        <f t="shared" si="35"/>
        <v>2.334399414062502</v>
      </c>
      <c r="BY40" s="148"/>
      <c r="BZ40" s="148"/>
      <c r="CA40" s="148"/>
      <c r="CB40" s="148"/>
      <c r="CC40" s="148"/>
    </row>
    <row r="41" spans="1:81">
      <c r="A41">
        <v>29</v>
      </c>
      <c r="B41" t="s">
        <v>194</v>
      </c>
      <c r="C41" t="s">
        <v>243</v>
      </c>
      <c r="D41">
        <v>1.2095838448844873</v>
      </c>
      <c r="E41">
        <v>0.53898762752473206</v>
      </c>
      <c r="F41">
        <v>29</v>
      </c>
      <c r="G41" t="s">
        <v>79</v>
      </c>
      <c r="H41" t="s">
        <v>273</v>
      </c>
      <c r="J41">
        <v>10.654677458901713</v>
      </c>
      <c r="K41">
        <v>0.48041872118340168</v>
      </c>
      <c r="L41">
        <v>0.41796778628700659</v>
      </c>
      <c r="P41" s="105" t="s">
        <v>345</v>
      </c>
      <c r="Q41" s="106">
        <v>6.2301042941263784E-5</v>
      </c>
      <c r="R41" s="106">
        <v>0.53060099999999999</v>
      </c>
      <c r="S41" s="106" t="s">
        <v>366</v>
      </c>
      <c r="T41" s="106"/>
      <c r="U41" s="106">
        <v>0</v>
      </c>
      <c r="V41" s="106"/>
      <c r="W41" s="106">
        <v>3</v>
      </c>
      <c r="X41" s="106" t="s">
        <v>374</v>
      </c>
      <c r="Y41" s="148">
        <v>0.3904654947916667</v>
      </c>
      <c r="Z41" t="s">
        <v>263</v>
      </c>
      <c r="AA41" s="106" t="s">
        <v>375</v>
      </c>
      <c r="AB41">
        <v>2.0562823486328125E-2</v>
      </c>
      <c r="AC41" s="148"/>
      <c r="AD41" s="106"/>
      <c r="AE41" s="106" t="s">
        <v>168</v>
      </c>
      <c r="AF41" s="106" t="s">
        <v>337</v>
      </c>
      <c r="AO41" s="148"/>
      <c r="AP41" s="150"/>
      <c r="AQ41" s="148"/>
      <c r="AR41" s="148"/>
      <c r="AS41" s="148"/>
      <c r="AT41" s="148"/>
    </row>
    <row r="42" spans="1:81">
      <c r="A42">
        <v>30</v>
      </c>
      <c r="B42" t="s">
        <v>106</v>
      </c>
      <c r="C42" t="s">
        <v>244</v>
      </c>
      <c r="D42">
        <v>0.50929588607594856</v>
      </c>
      <c r="E42">
        <v>0.59035205540220814</v>
      </c>
      <c r="F42">
        <v>30</v>
      </c>
      <c r="G42" t="s">
        <v>47</v>
      </c>
      <c r="H42" t="s">
        <v>274</v>
      </c>
      <c r="J42">
        <v>0.59403337419216362</v>
      </c>
      <c r="K42">
        <v>0.36166168018511147</v>
      </c>
      <c r="L42">
        <v>0.20193872696314105</v>
      </c>
      <c r="P42" s="105" t="s">
        <v>346</v>
      </c>
      <c r="Q42" s="106">
        <v>2.5148547342216188</v>
      </c>
      <c r="R42" s="106">
        <v>1.1024000000000001E-2</v>
      </c>
      <c r="S42" s="106"/>
      <c r="T42" s="106"/>
      <c r="U42" s="106"/>
      <c r="V42" s="106"/>
      <c r="W42" s="106">
        <v>4</v>
      </c>
      <c r="X42" s="106" t="s">
        <v>376</v>
      </c>
      <c r="Y42">
        <v>5.2075400000000001E-3</v>
      </c>
      <c r="Z42" t="s">
        <v>264</v>
      </c>
      <c r="AA42" s="106" t="s">
        <v>377</v>
      </c>
      <c r="AB42" s="148">
        <v>1.8859823855605026E-2</v>
      </c>
      <c r="AC42" s="148"/>
      <c r="AD42" s="106" t="s">
        <v>495</v>
      </c>
      <c r="AE42" s="106">
        <v>5.6106250000000027E-6</v>
      </c>
      <c r="AF42" s="106">
        <v>0</v>
      </c>
      <c r="AO42" s="148"/>
      <c r="AP42" s="150"/>
      <c r="AQ42" s="148"/>
      <c r="AR42" s="148"/>
      <c r="AS42" s="148"/>
      <c r="AT42" s="148"/>
    </row>
    <row r="43" spans="1:81">
      <c r="A43">
        <v>31</v>
      </c>
      <c r="B43" t="s">
        <v>99</v>
      </c>
      <c r="C43" t="s">
        <v>245</v>
      </c>
      <c r="D43">
        <v>9.8892405063291028E-2</v>
      </c>
      <c r="E43">
        <v>0.39613626281545744</v>
      </c>
      <c r="F43">
        <v>31</v>
      </c>
      <c r="G43" t="s">
        <v>67</v>
      </c>
      <c r="H43" t="s">
        <v>274</v>
      </c>
      <c r="J43">
        <v>14.339740642763337</v>
      </c>
      <c r="K43">
        <v>0.51130645027129407</v>
      </c>
      <c r="L43">
        <v>0.3930338006270559</v>
      </c>
      <c r="P43" s="105" t="s">
        <v>347</v>
      </c>
      <c r="Q43" s="106">
        <v>2.6776802826815456E-5</v>
      </c>
      <c r="R43" s="106">
        <v>0.47503899999999999</v>
      </c>
      <c r="S43" s="106"/>
      <c r="T43" s="106"/>
      <c r="U43" s="106"/>
      <c r="V43" s="106"/>
      <c r="W43" s="106">
        <v>4</v>
      </c>
      <c r="X43" s="106" t="s">
        <v>378</v>
      </c>
      <c r="Y43" s="148">
        <v>0.36816393229166666</v>
      </c>
      <c r="Z43" t="s">
        <v>264</v>
      </c>
      <c r="AA43" s="106" t="s">
        <v>379</v>
      </c>
      <c r="AB43">
        <v>2.0527960205078126E-2</v>
      </c>
      <c r="AC43" s="148"/>
      <c r="AD43" s="106" t="s">
        <v>496</v>
      </c>
      <c r="AE43" s="106">
        <v>1.7805312500000005E-5</v>
      </c>
      <c r="AF43" s="106">
        <v>0</v>
      </c>
      <c r="AO43" s="148"/>
      <c r="AP43" s="150"/>
      <c r="AQ43" s="148"/>
      <c r="AR43" s="148"/>
      <c r="AS43" s="148"/>
      <c r="AT43" s="148"/>
    </row>
    <row r="44" spans="1:81">
      <c r="A44">
        <v>32</v>
      </c>
      <c r="B44" t="s">
        <v>195</v>
      </c>
      <c r="C44" t="s">
        <v>245</v>
      </c>
      <c r="D44">
        <v>0.67448405778403286</v>
      </c>
      <c r="E44">
        <v>0.39601331778096804</v>
      </c>
      <c r="F44">
        <v>32</v>
      </c>
      <c r="G44" t="s">
        <v>53</v>
      </c>
      <c r="H44" t="s">
        <v>275</v>
      </c>
      <c r="J44">
        <v>0.17428185196095469</v>
      </c>
      <c r="K44">
        <v>0.27416680186701281</v>
      </c>
      <c r="L44">
        <v>0.16538886655948559</v>
      </c>
      <c r="P44" s="105" t="s">
        <v>348</v>
      </c>
      <c r="Q44" s="106">
        <v>2.0749999999999989E-4</v>
      </c>
      <c r="R44" s="106"/>
      <c r="S44" s="106"/>
      <c r="T44" s="106"/>
      <c r="U44" s="106"/>
      <c r="V44" s="106"/>
      <c r="W44" s="106">
        <v>5</v>
      </c>
      <c r="X44" s="106" t="s">
        <v>380</v>
      </c>
      <c r="Y44">
        <v>7.4265672183024233E-3</v>
      </c>
      <c r="Z44" t="s">
        <v>265</v>
      </c>
      <c r="AA44" s="106" t="s">
        <v>381</v>
      </c>
      <c r="AB44" s="148">
        <v>1.9650834654461123E-2</v>
      </c>
      <c r="AC44" s="148"/>
      <c r="AD44" s="15" t="s">
        <v>497</v>
      </c>
      <c r="AE44" s="106">
        <f>IF(H5=2,AE42,AE43)</f>
        <v>5.6106250000000027E-6</v>
      </c>
      <c r="AF44" s="106"/>
      <c r="AO44" s="148"/>
      <c r="AP44" s="150"/>
      <c r="AQ44" s="148"/>
      <c r="AR44" s="148"/>
      <c r="AS44" s="148"/>
      <c r="AT44" s="148"/>
    </row>
    <row r="45" spans="1:81">
      <c r="A45">
        <v>33</v>
      </c>
      <c r="B45" t="s">
        <v>100</v>
      </c>
      <c r="C45" t="s">
        <v>246</v>
      </c>
      <c r="D45">
        <v>0.94195015822784733</v>
      </c>
      <c r="E45">
        <v>0.408190802444795</v>
      </c>
      <c r="F45">
        <v>33</v>
      </c>
      <c r="G45" t="s">
        <v>74</v>
      </c>
      <c r="H45" t="s">
        <v>275</v>
      </c>
      <c r="J45">
        <v>9.5395977683171402</v>
      </c>
      <c r="K45">
        <v>0.51155219050726863</v>
      </c>
      <c r="L45">
        <v>0.34495257844650207</v>
      </c>
      <c r="P45" s="105" t="s">
        <v>349</v>
      </c>
      <c r="Q45" s="106">
        <v>2.0749999999999989E-4</v>
      </c>
      <c r="R45" s="106">
        <f>IF(A6=3,Q44,IF(A6=2,Q45,IF(A6=1,Q46)))</f>
        <v>2.0749999999999989E-4</v>
      </c>
      <c r="S45" s="106" t="s">
        <v>497</v>
      </c>
      <c r="T45" s="106"/>
      <c r="U45" s="106"/>
      <c r="V45" s="106" t="s">
        <v>86</v>
      </c>
      <c r="W45" s="106">
        <v>5</v>
      </c>
      <c r="X45" s="106" t="s">
        <v>382</v>
      </c>
      <c r="Y45" s="148">
        <v>0.3904654947916667</v>
      </c>
      <c r="Z45" t="s">
        <v>265</v>
      </c>
      <c r="AA45" s="106" t="s">
        <v>381</v>
      </c>
      <c r="AB45">
        <v>2.052864318847656E-2</v>
      </c>
      <c r="AC45" s="148"/>
      <c r="AD45" s="106" t="s">
        <v>353</v>
      </c>
      <c r="AE45" s="106">
        <v>1.8874999999999999E-6</v>
      </c>
      <c r="AF45" s="106">
        <v>0</v>
      </c>
      <c r="AO45" s="148"/>
      <c r="AP45" s="150"/>
      <c r="AQ45" s="148"/>
      <c r="AR45" s="148"/>
      <c r="AS45" s="148"/>
      <c r="AT45" s="148"/>
    </row>
    <row r="46" spans="1:81">
      <c r="F46">
        <v>34</v>
      </c>
      <c r="G46" t="s">
        <v>59</v>
      </c>
      <c r="H46" t="s">
        <v>276</v>
      </c>
      <c r="J46">
        <v>0.49191990528180513</v>
      </c>
      <c r="K46">
        <v>0.28148951966679936</v>
      </c>
      <c r="L46">
        <v>0.1685115947420634</v>
      </c>
      <c r="P46" s="105" t="s">
        <v>350</v>
      </c>
      <c r="Q46" s="106">
        <v>2.0749999999999989E-4</v>
      </c>
      <c r="R46" s="106" t="s">
        <v>86</v>
      </c>
      <c r="S46" s="106"/>
      <c r="T46" s="106"/>
      <c r="U46" s="106"/>
      <c r="V46" s="106"/>
      <c r="W46" s="106">
        <v>6</v>
      </c>
      <c r="X46" s="106" t="s">
        <v>383</v>
      </c>
      <c r="Y46">
        <v>7.9801954135781082E-3</v>
      </c>
      <c r="Z46" t="s">
        <v>266</v>
      </c>
      <c r="AA46" s="106" t="s">
        <v>384</v>
      </c>
      <c r="AB46" s="148">
        <v>1.9366257892256392E-2</v>
      </c>
      <c r="AC46" s="148"/>
      <c r="AD46" s="106" t="s">
        <v>354</v>
      </c>
      <c r="AE46" s="106">
        <v>1.8874999999999999E-6</v>
      </c>
      <c r="AF46" s="109">
        <v>0</v>
      </c>
      <c r="AO46" s="148"/>
      <c r="AP46" s="150"/>
      <c r="AQ46" s="148"/>
      <c r="AR46" s="148"/>
      <c r="AS46" s="148"/>
      <c r="AT46" s="148"/>
    </row>
    <row r="47" spans="1:81">
      <c r="F47">
        <v>35</v>
      </c>
      <c r="G47" t="s">
        <v>80</v>
      </c>
      <c r="H47" t="s">
        <v>276</v>
      </c>
      <c r="J47">
        <v>10.003368413278421</v>
      </c>
      <c r="K47">
        <v>0.48211594940110569</v>
      </c>
      <c r="L47">
        <v>0.36041621157997533</v>
      </c>
      <c r="P47" s="105" t="s">
        <v>351</v>
      </c>
      <c r="Q47" s="106">
        <v>0.43343226702897192</v>
      </c>
      <c r="R47" s="106">
        <v>4.2400120253164551E-3</v>
      </c>
      <c r="S47" s="106"/>
      <c r="T47" s="106"/>
      <c r="U47" s="106"/>
      <c r="V47" s="106"/>
      <c r="W47" s="106">
        <v>6</v>
      </c>
      <c r="X47" s="106" t="s">
        <v>385</v>
      </c>
      <c r="Y47" s="148">
        <v>0.31894205729166669</v>
      </c>
      <c r="Z47" t="s">
        <v>266</v>
      </c>
      <c r="AA47" s="106" t="s">
        <v>386</v>
      </c>
      <c r="AB47">
        <v>2.0540246582031248E-2</v>
      </c>
      <c r="AC47" s="148"/>
      <c r="AD47" s="106"/>
      <c r="AO47" s="148"/>
      <c r="AP47" s="150"/>
      <c r="AQ47" s="148"/>
      <c r="AR47" s="148"/>
      <c r="AS47" s="148"/>
      <c r="AT47" s="148"/>
    </row>
    <row r="48" spans="1:81">
      <c r="F48">
        <v>36</v>
      </c>
      <c r="G48" t="s">
        <v>48</v>
      </c>
      <c r="H48" t="s">
        <v>277</v>
      </c>
      <c r="J48">
        <v>0.61216274898396406</v>
      </c>
      <c r="K48">
        <v>0.36295085148856465</v>
      </c>
      <c r="L48">
        <v>0.20255270337301584</v>
      </c>
      <c r="P48" s="105" t="s">
        <v>352</v>
      </c>
      <c r="Q48" s="106">
        <v>1.1963386368657861E-2</v>
      </c>
      <c r="R48" s="106">
        <v>0.38365700000000003</v>
      </c>
      <c r="S48" s="106"/>
      <c r="T48" s="106" t="s">
        <v>86</v>
      </c>
      <c r="U48" s="106"/>
      <c r="V48" s="106"/>
      <c r="W48" s="106">
        <v>7</v>
      </c>
      <c r="X48" s="106" t="s">
        <v>387</v>
      </c>
      <c r="Y48">
        <v>6.4440000000000001E-3</v>
      </c>
      <c r="Z48" t="s">
        <v>267</v>
      </c>
      <c r="AA48" s="106" t="s">
        <v>388</v>
      </c>
      <c r="AB48" s="148">
        <v>1.8716320105605023E-2</v>
      </c>
      <c r="AC48" s="148"/>
      <c r="AD48" s="109"/>
      <c r="AO48" s="148"/>
      <c r="AP48" s="150"/>
      <c r="AQ48" s="148"/>
      <c r="AR48" s="148"/>
      <c r="AS48" s="148"/>
      <c r="AT48" s="148"/>
    </row>
    <row r="49" spans="6:66">
      <c r="F49">
        <v>37</v>
      </c>
      <c r="G49" t="s">
        <v>68</v>
      </c>
      <c r="H49" t="s">
        <v>277</v>
      </c>
      <c r="J49">
        <v>12.767032580293</v>
      </c>
      <c r="K49">
        <v>0.50989299402385346</v>
      </c>
      <c r="L49">
        <v>0.36882155568976172</v>
      </c>
      <c r="P49" s="105"/>
      <c r="Q49" s="106"/>
      <c r="R49" s="106"/>
      <c r="S49" s="106"/>
      <c r="T49" s="106"/>
      <c r="U49" s="106"/>
      <c r="V49" s="106"/>
      <c r="W49" s="106">
        <v>7</v>
      </c>
      <c r="X49" s="106" t="s">
        <v>389</v>
      </c>
      <c r="Y49" s="148">
        <v>0.29664049479166665</v>
      </c>
      <c r="Z49" t="s">
        <v>267</v>
      </c>
      <c r="AA49" s="106" t="s">
        <v>390</v>
      </c>
      <c r="AB49">
        <v>2.05078125E-2</v>
      </c>
      <c r="AC49" s="148"/>
      <c r="AO49" s="148"/>
      <c r="AP49" s="150"/>
      <c r="AQ49" s="148"/>
      <c r="AR49" s="148"/>
      <c r="AS49" s="148"/>
      <c r="AT49" s="148"/>
    </row>
    <row r="50" spans="6:66">
      <c r="F50">
        <v>38</v>
      </c>
      <c r="G50" t="s">
        <v>54</v>
      </c>
      <c r="H50" t="s">
        <v>278</v>
      </c>
      <c r="J50">
        <v>0.53179341620776122</v>
      </c>
      <c r="K50">
        <v>0.275231972101735</v>
      </c>
      <c r="L50">
        <v>0.16635168650793658</v>
      </c>
      <c r="P50" s="105"/>
      <c r="Q50" s="106" t="s">
        <v>197</v>
      </c>
      <c r="R50" s="106" t="s">
        <v>202</v>
      </c>
      <c r="S50" s="106" t="s">
        <v>203</v>
      </c>
      <c r="T50" s="107" t="s">
        <v>360</v>
      </c>
      <c r="U50" s="106"/>
      <c r="V50" s="106"/>
      <c r="W50" s="106">
        <v>8</v>
      </c>
      <c r="X50" s="106" t="s">
        <v>391</v>
      </c>
      <c r="Y50">
        <v>8.2629999999999995E-3</v>
      </c>
      <c r="Z50" t="s">
        <v>268</v>
      </c>
      <c r="AA50" s="106" t="s">
        <v>392</v>
      </c>
      <c r="AB50" s="148">
        <v>1.9554457605605025E-2</v>
      </c>
      <c r="AC50" s="148"/>
      <c r="AO50" s="148"/>
      <c r="AP50" s="150"/>
      <c r="AQ50" s="148"/>
      <c r="AR50" s="148"/>
      <c r="AS50" s="148"/>
      <c r="AT50" s="148"/>
    </row>
    <row r="51" spans="6:66">
      <c r="F51">
        <v>39</v>
      </c>
      <c r="G51" t="s">
        <v>75</v>
      </c>
      <c r="H51" t="s">
        <v>278</v>
      </c>
      <c r="J51">
        <v>13.089129178314293</v>
      </c>
      <c r="K51">
        <v>0.51230837264150941</v>
      </c>
      <c r="L51">
        <v>0.33791784989206414</v>
      </c>
      <c r="P51" s="105" t="s">
        <v>353</v>
      </c>
      <c r="Q51" s="106">
        <v>1.95E-4</v>
      </c>
      <c r="R51" s="106">
        <v>1.95E-4</v>
      </c>
      <c r="S51" s="106">
        <v>1.95E-4</v>
      </c>
      <c r="T51" s="106">
        <f>IF($A$6=3,Q51,IF($A$6=2,R51,IF($A$6=1,S51)))</f>
        <v>1.95E-4</v>
      </c>
      <c r="U51" s="106"/>
      <c r="V51" s="106"/>
      <c r="W51" s="106">
        <v>8</v>
      </c>
      <c r="X51" s="106" t="s">
        <v>393</v>
      </c>
      <c r="Y51" s="148">
        <v>0.36816393229166666</v>
      </c>
      <c r="Z51" t="s">
        <v>268</v>
      </c>
      <c r="AA51" s="106" t="s">
        <v>394</v>
      </c>
      <c r="AB51">
        <v>2.0529519653320314E-2</v>
      </c>
      <c r="AC51" s="148"/>
      <c r="AO51" s="148"/>
      <c r="AP51" s="150"/>
      <c r="AQ51" s="148"/>
      <c r="AR51" s="148"/>
      <c r="AS51" s="148"/>
      <c r="AT51" s="148"/>
    </row>
    <row r="52" spans="6:66">
      <c r="F52">
        <v>40</v>
      </c>
      <c r="G52" t="s">
        <v>60</v>
      </c>
      <c r="H52" t="s">
        <v>279</v>
      </c>
      <c r="J52">
        <v>0.80663901517235825</v>
      </c>
      <c r="K52">
        <v>0.28093423452287114</v>
      </c>
      <c r="L52">
        <v>0.16885230654761899</v>
      </c>
      <c r="P52" s="105" t="s">
        <v>354</v>
      </c>
      <c r="Q52" s="106">
        <v>1.95E-4</v>
      </c>
      <c r="R52" s="106">
        <v>1.95E-4</v>
      </c>
      <c r="S52" s="106">
        <v>1.95E-4</v>
      </c>
      <c r="T52" s="106">
        <f>IF($A$6=3,Q52,IF($A$6=2,R52,IF($A$6=1,S52)))</f>
        <v>1.95E-4</v>
      </c>
      <c r="U52" s="106"/>
      <c r="V52" s="106"/>
      <c r="W52" s="106">
        <v>9</v>
      </c>
      <c r="X52" s="106" t="s">
        <v>395</v>
      </c>
      <c r="Y52">
        <v>5.3889600000000008E-3</v>
      </c>
      <c r="Z52" t="s">
        <v>269</v>
      </c>
      <c r="AA52" s="106" t="s">
        <v>396</v>
      </c>
      <c r="AB52" s="148">
        <v>1.9524685105605025E-2</v>
      </c>
      <c r="AC52" s="148"/>
      <c r="AO52" s="148"/>
      <c r="AP52" s="150"/>
      <c r="AQ52" s="148"/>
      <c r="AR52" s="148"/>
      <c r="AS52" s="148"/>
      <c r="AT52" s="148"/>
    </row>
    <row r="53" spans="6:66">
      <c r="F53">
        <v>41</v>
      </c>
      <c r="G53" t="s">
        <v>81</v>
      </c>
      <c r="H53" t="s">
        <v>279</v>
      </c>
      <c r="J53">
        <v>9.839762815523347</v>
      </c>
      <c r="K53">
        <v>0.48122796535882473</v>
      </c>
      <c r="L53">
        <v>0.35927533601459699</v>
      </c>
      <c r="P53" s="105" t="s">
        <v>355</v>
      </c>
      <c r="Q53" s="106">
        <v>0</v>
      </c>
      <c r="R53" s="106">
        <v>0</v>
      </c>
      <c r="S53" s="106">
        <v>0</v>
      </c>
      <c r="T53" s="106">
        <f>IF($A$6=3,Q53,IF($A$6=2,R53,IF($A$6=1,S53)))</f>
        <v>0</v>
      </c>
      <c r="U53" s="106"/>
      <c r="V53" s="106" t="s">
        <v>86</v>
      </c>
      <c r="W53" s="106">
        <v>9</v>
      </c>
      <c r="X53" s="106" t="s">
        <v>397</v>
      </c>
      <c r="Y53" s="148">
        <v>0.29664049479166665</v>
      </c>
      <c r="Z53" t="s">
        <v>269</v>
      </c>
      <c r="AA53" s="106" t="s">
        <v>398</v>
      </c>
      <c r="AB53">
        <v>2.0526123046875001E-2</v>
      </c>
      <c r="AC53" s="148"/>
      <c r="AO53" s="148"/>
      <c r="AP53" s="150"/>
      <c r="AQ53" s="148"/>
      <c r="AR53" s="148"/>
      <c r="AS53" s="148"/>
      <c r="AT53" s="148"/>
    </row>
    <row r="54" spans="6:66">
      <c r="F54">
        <v>42</v>
      </c>
      <c r="G54" t="s">
        <v>69</v>
      </c>
      <c r="H54" t="s">
        <v>285</v>
      </c>
      <c r="I54">
        <f>(J54+J55)/2</f>
        <v>14.709391821044814</v>
      </c>
      <c r="J54">
        <v>20.47525358280922</v>
      </c>
      <c r="K54">
        <v>0.51050544507575757</v>
      </c>
      <c r="L54">
        <v>0.47582758853310037</v>
      </c>
      <c r="M54">
        <f>(L54+L55)/2</f>
        <v>0.43807666202726742</v>
      </c>
      <c r="P54" s="108" t="s">
        <v>356</v>
      </c>
      <c r="Q54" s="109">
        <v>0</v>
      </c>
      <c r="R54" s="109">
        <v>0</v>
      </c>
      <c r="S54" s="109">
        <v>0</v>
      </c>
      <c r="T54" s="106">
        <f>IF($A$6=3,Q54,IF($A$6=2,R54,IF($A$6=1,S54)))</f>
        <v>0</v>
      </c>
      <c r="U54" s="109"/>
      <c r="V54" s="109"/>
      <c r="W54" s="106">
        <v>10</v>
      </c>
      <c r="X54" s="106" t="s">
        <v>399</v>
      </c>
      <c r="Y54">
        <v>5.4389900000000003E-3</v>
      </c>
      <c r="Z54" t="s">
        <v>270</v>
      </c>
      <c r="AA54" s="106" t="s">
        <v>400</v>
      </c>
      <c r="AB54" s="148">
        <v>1.8622833230605026E-2</v>
      </c>
      <c r="AC54" s="148"/>
      <c r="AO54" s="148"/>
      <c r="AP54" s="150"/>
      <c r="AQ54" s="148"/>
      <c r="AR54" s="148"/>
      <c r="AS54" s="148"/>
      <c r="AT54" s="148"/>
    </row>
    <row r="55" spans="6:66">
      <c r="G55" t="s">
        <v>82</v>
      </c>
      <c r="H55" t="s">
        <v>286</v>
      </c>
      <c r="I55" t="s">
        <v>306</v>
      </c>
      <c r="J55">
        <v>8.9435300592804072</v>
      </c>
      <c r="K55">
        <v>0.48153231899434079</v>
      </c>
      <c r="L55">
        <v>0.40032573552143447</v>
      </c>
      <c r="M55" t="s">
        <v>308</v>
      </c>
      <c r="T55" t="s">
        <v>86</v>
      </c>
      <c r="W55" s="105">
        <v>10</v>
      </c>
      <c r="X55" s="106" t="s">
        <v>401</v>
      </c>
      <c r="Y55" s="148">
        <v>0.27433893229166667</v>
      </c>
      <c r="Z55" t="s">
        <v>270</v>
      </c>
      <c r="AA55" s="106" t="s">
        <v>402</v>
      </c>
      <c r="AB55">
        <v>2.0533483886718752E-2</v>
      </c>
      <c r="AC55" s="148"/>
      <c r="AO55" s="148"/>
      <c r="AP55" s="150"/>
      <c r="AQ55" s="148"/>
      <c r="AR55" s="148"/>
      <c r="AS55" s="148"/>
      <c r="AT55" s="148"/>
    </row>
    <row r="56" spans="6:66">
      <c r="G56" t="s">
        <v>209</v>
      </c>
      <c r="I56">
        <f>(J56+J57)/2</f>
        <v>10.630363165518681</v>
      </c>
      <c r="J56">
        <v>12.3819247782035</v>
      </c>
      <c r="K56">
        <v>0.51020451826115887</v>
      </c>
      <c r="L56">
        <v>0.55928047581722862</v>
      </c>
      <c r="M56">
        <f>(L56+L57)/2</f>
        <v>0.51933352821751644</v>
      </c>
      <c r="N56" t="s">
        <v>293</v>
      </c>
      <c r="O56" t="s">
        <v>310</v>
      </c>
      <c r="P56" t="s">
        <v>311</v>
      </c>
      <c r="W56" s="105">
        <v>11</v>
      </c>
      <c r="X56" s="106" t="s">
        <v>403</v>
      </c>
      <c r="Y56">
        <v>1.6304900000000001E-3</v>
      </c>
      <c r="Z56" t="s">
        <v>271</v>
      </c>
      <c r="AA56" s="106" t="s">
        <v>404</v>
      </c>
      <c r="AB56" s="148">
        <v>2.0350449341716134E-2</v>
      </c>
      <c r="AC56" s="148"/>
    </row>
    <row r="57" spans="6:66">
      <c r="G57" t="s">
        <v>83</v>
      </c>
      <c r="I57" t="s">
        <v>307</v>
      </c>
      <c r="J57">
        <v>8.8788015528338597</v>
      </c>
      <c r="K57">
        <v>0.48181562244062248</v>
      </c>
      <c r="L57">
        <v>0.47938658061780426</v>
      </c>
      <c r="M57" t="s">
        <v>309</v>
      </c>
      <c r="N57">
        <v>5</v>
      </c>
      <c r="O57">
        <f>((J19-J54)/1600)*'New SRA Environment'!B21*AB11</f>
        <v>-9.1975733394065191</v>
      </c>
      <c r="P57">
        <f>((L19-L54)/1600)*'New SRA Environment'!B21*AB11</f>
        <v>5.030557732833052E-2</v>
      </c>
      <c r="Q57" t="s">
        <v>287</v>
      </c>
      <c r="W57" s="105">
        <v>11</v>
      </c>
      <c r="X57" s="106" t="s">
        <v>405</v>
      </c>
      <c r="Y57" s="148">
        <v>0.33398111979166673</v>
      </c>
      <c r="Z57" t="s">
        <v>271</v>
      </c>
      <c r="AA57" s="106" t="s">
        <v>406</v>
      </c>
      <c r="AB57">
        <v>2.0541699218750001E-2</v>
      </c>
      <c r="AC57" s="148"/>
    </row>
    <row r="58" spans="6:66">
      <c r="G58" t="s">
        <v>210</v>
      </c>
      <c r="I58">
        <v>3.2636550992714017</v>
      </c>
      <c r="J58">
        <v>15.844953255920613</v>
      </c>
      <c r="K58">
        <v>0.53741929962633095</v>
      </c>
      <c r="L58">
        <v>0.5056105764288652</v>
      </c>
      <c r="N58">
        <v>1</v>
      </c>
      <c r="O58">
        <f>((J35-J55)/1600)*'New SRA Environment'!B21*AB11</f>
        <v>2.4736853194548996</v>
      </c>
      <c r="P58">
        <f>((L35-L55)/1600)*'New SRA Environment'!B21*AB11</f>
        <v>-5.499018671900846E-2</v>
      </c>
      <c r="Q58" t="s">
        <v>288</v>
      </c>
      <c r="W58" s="105">
        <v>12</v>
      </c>
      <c r="X58" s="106" t="s">
        <v>407</v>
      </c>
      <c r="Y58">
        <v>5.4188999999999999E-3</v>
      </c>
      <c r="Z58" t="s">
        <v>272</v>
      </c>
      <c r="AA58" s="106" t="s">
        <v>408</v>
      </c>
      <c r="AB58" s="148">
        <v>1.9970191216716136E-2</v>
      </c>
      <c r="AC58" s="148"/>
    </row>
    <row r="59" spans="6:66">
      <c r="G59" t="s">
        <v>211</v>
      </c>
      <c r="I59">
        <v>4.6870558730830236</v>
      </c>
      <c r="J59">
        <v>19.008429102385001</v>
      </c>
      <c r="K59">
        <v>0.53912608453624078</v>
      </c>
      <c r="L59">
        <v>0.48332969263980263</v>
      </c>
      <c r="N59">
        <v>3</v>
      </c>
      <c r="O59">
        <f>((J27-I54)/1600)*'New SRA Environment'!B21*AB11</f>
        <v>-1.380553988066092</v>
      </c>
      <c r="P59">
        <f>((L27-M54)/1600)*'New SRA Environment'!B21*AB11</f>
        <v>-4.3640257447703279E-2</v>
      </c>
      <c r="Q59" t="s">
        <v>289</v>
      </c>
      <c r="W59" s="105">
        <v>12</v>
      </c>
      <c r="X59" s="106" t="s">
        <v>409</v>
      </c>
      <c r="Y59" s="148">
        <v>0.29821940104166667</v>
      </c>
      <c r="Z59" t="s">
        <v>272</v>
      </c>
      <c r="AA59" s="106" t="s">
        <v>410</v>
      </c>
      <c r="AB59">
        <v>2.053458251953125E-2</v>
      </c>
      <c r="AC59" s="148"/>
    </row>
    <row r="60" spans="6:66">
      <c r="G60" t="s">
        <v>212</v>
      </c>
      <c r="I60">
        <v>6.8167823397085607</v>
      </c>
      <c r="J60">
        <v>20.527598328948322</v>
      </c>
      <c r="K60">
        <v>0.53748028479473797</v>
      </c>
      <c r="L60">
        <v>0.53534746671977795</v>
      </c>
      <c r="N60" s="65" t="s">
        <v>294</v>
      </c>
      <c r="O60">
        <f>IF(I7=3,O57,IF(I7=2,O59,IF(I7=1,O58)))</f>
        <v>-9.1975733394065191</v>
      </c>
      <c r="P60">
        <f>IF(I7=3,P57,IF(I7=2,P59,IF(I7=1,P58)))</f>
        <v>5.030557732833052E-2</v>
      </c>
      <c r="W60" s="105">
        <v>13</v>
      </c>
      <c r="X60" s="106" t="s">
        <v>411</v>
      </c>
      <c r="Y60">
        <v>5.2697999999999998E-3</v>
      </c>
      <c r="Z60" t="s">
        <v>273</v>
      </c>
      <c r="AA60" s="106" t="s">
        <v>412</v>
      </c>
      <c r="AB60" s="148">
        <v>1.9195887466716136E-2</v>
      </c>
      <c r="AC60" s="148"/>
    </row>
    <row r="61" spans="6:66">
      <c r="G61" t="s">
        <v>213</v>
      </c>
      <c r="I61">
        <v>3.7877817622950807</v>
      </c>
      <c r="J61">
        <v>14.697028042523256</v>
      </c>
      <c r="K61">
        <v>0.5346735673884111</v>
      </c>
      <c r="L61">
        <v>0.51669737163342933</v>
      </c>
      <c r="O61" t="s">
        <v>312</v>
      </c>
      <c r="P61" t="s">
        <v>313</v>
      </c>
      <c r="W61" s="105">
        <v>13</v>
      </c>
      <c r="X61" s="106" t="s">
        <v>413</v>
      </c>
      <c r="Y61" s="148">
        <v>0.2870686197916667</v>
      </c>
      <c r="Z61" t="s">
        <v>273</v>
      </c>
      <c r="AA61" s="106" t="s">
        <v>414</v>
      </c>
      <c r="AB61">
        <v>2.0515325927734376E-2</v>
      </c>
      <c r="AC61" s="148"/>
    </row>
    <row r="62" spans="6:66">
      <c r="G62" t="s">
        <v>214</v>
      </c>
      <c r="I62">
        <v>2.5626102166312803</v>
      </c>
      <c r="J62">
        <v>11.683569864365596</v>
      </c>
      <c r="K62">
        <v>0.5361728027743653</v>
      </c>
      <c r="L62">
        <v>0.55703253495065785</v>
      </c>
      <c r="N62">
        <v>5</v>
      </c>
      <c r="O62">
        <f>((J19-J56)/1600)*'New SRA Environment'!B21*AB11</f>
        <v>-1.1042445348007988</v>
      </c>
      <c r="P62">
        <f>((L19-L56)/1600)*'New SRA Environment'!B21*AB11</f>
        <v>-3.3147309955797732E-2</v>
      </c>
      <c r="Q62" t="s">
        <v>290</v>
      </c>
      <c r="W62" s="105">
        <v>14</v>
      </c>
      <c r="X62" s="106" t="s">
        <v>415</v>
      </c>
      <c r="Y62">
        <v>5.940333741921636E-3</v>
      </c>
      <c r="Z62" t="s">
        <v>274</v>
      </c>
      <c r="AA62" s="106" t="s">
        <v>416</v>
      </c>
      <c r="AB62" s="148">
        <v>2.0066676607846032E-2</v>
      </c>
      <c r="AC62" s="148"/>
    </row>
    <row r="63" spans="6:66">
      <c r="G63" t="s">
        <v>215</v>
      </c>
      <c r="I63">
        <v>3.6984909616185258</v>
      </c>
      <c r="J63">
        <v>15.080026104595301</v>
      </c>
      <c r="K63">
        <v>0.53475014876382065</v>
      </c>
      <c r="L63">
        <v>0.5616487201891448</v>
      </c>
      <c r="N63">
        <v>1</v>
      </c>
      <c r="O63">
        <f>((J35-J57)/1600)*'New SRA Environment'!B21*AB11</f>
        <v>2.538413825901447</v>
      </c>
      <c r="P63">
        <f>((L35-L57)/1600)*'New SRA Environment'!B21*AB11</f>
        <v>-0.13405103181537825</v>
      </c>
      <c r="Q63" t="s">
        <v>291</v>
      </c>
      <c r="W63" s="105">
        <v>14</v>
      </c>
      <c r="X63" s="106" t="s">
        <v>417</v>
      </c>
      <c r="Y63" s="148">
        <v>0.29821940104166667</v>
      </c>
      <c r="Z63" t="s">
        <v>274</v>
      </c>
      <c r="AA63" s="106" t="s">
        <v>418</v>
      </c>
      <c r="AB63">
        <v>2.0622436523437503E-2</v>
      </c>
      <c r="AC63" s="148"/>
      <c r="AU63" s="148" t="s">
        <v>561</v>
      </c>
      <c r="BF63" s="148" t="s">
        <v>562</v>
      </c>
      <c r="BG63" s="148"/>
      <c r="BH63" s="148"/>
      <c r="BI63" s="148"/>
    </row>
    <row r="64" spans="6:66">
      <c r="G64" t="s">
        <v>216</v>
      </c>
      <c r="H64" s="86">
        <v>23</v>
      </c>
      <c r="J64">
        <v>45.791110538755881</v>
      </c>
      <c r="K64">
        <v>0.49002045178022458</v>
      </c>
      <c r="L64">
        <v>0.76614374356995885</v>
      </c>
      <c r="N64">
        <v>3</v>
      </c>
      <c r="O64">
        <f>((J27-I56)/1600)*'New SRA Environment'!B21*AB11</f>
        <v>2.6984746674600419</v>
      </c>
      <c r="P64">
        <f>((L27-M56)/1600)*'New SRA Environment'!B21*AB11</f>
        <v>-0.12489712363795229</v>
      </c>
      <c r="Q64" t="s">
        <v>292</v>
      </c>
      <c r="W64" s="105">
        <v>15</v>
      </c>
      <c r="X64" s="106" t="s">
        <v>419</v>
      </c>
      <c r="Y64">
        <v>1.7428185196095469E-3</v>
      </c>
      <c r="Z64" t="s">
        <v>275</v>
      </c>
      <c r="AA64" s="106" t="s">
        <v>420</v>
      </c>
      <c r="AB64" s="148">
        <v>1.9876148809240539E-2</v>
      </c>
      <c r="AC64" s="148"/>
      <c r="AU64" s="148"/>
      <c r="AV64" s="148" t="s">
        <v>563</v>
      </c>
      <c r="AW64" s="148" t="s">
        <v>564</v>
      </c>
      <c r="AX64" s="148" t="s">
        <v>565</v>
      </c>
      <c r="AY64" s="148" t="s">
        <v>567</v>
      </c>
      <c r="AZ64" s="148" t="s">
        <v>568</v>
      </c>
      <c r="BA64" s="148" t="s">
        <v>569</v>
      </c>
      <c r="BB64" s="148" t="s">
        <v>544</v>
      </c>
      <c r="BE64" s="148"/>
      <c r="BF64" s="148" t="s">
        <v>563</v>
      </c>
      <c r="BG64" s="148" t="s">
        <v>564</v>
      </c>
      <c r="BH64" s="148" t="s">
        <v>565</v>
      </c>
      <c r="BI64" s="148" t="s">
        <v>567</v>
      </c>
      <c r="BJ64" s="148" t="s">
        <v>568</v>
      </c>
      <c r="BK64" s="148" t="s">
        <v>569</v>
      </c>
      <c r="BL64" s="148" t="s">
        <v>566</v>
      </c>
      <c r="BN64" s="148"/>
    </row>
    <row r="65" spans="7:64">
      <c r="G65" t="s">
        <v>217</v>
      </c>
      <c r="H65">
        <v>13</v>
      </c>
      <c r="J65">
        <v>44.586948945528881</v>
      </c>
      <c r="K65">
        <v>0.49403265125921381</v>
      </c>
      <c r="L65" s="81">
        <v>0.49227680407072372</v>
      </c>
      <c r="N65" s="65" t="s">
        <v>294</v>
      </c>
      <c r="O65">
        <f>IF(I7=3,O62,IF(I7=2,O64,IF(I7=1,O63)))</f>
        <v>-1.1042445348007988</v>
      </c>
      <c r="P65">
        <f>IF(I7=3,P62,IF(I7=2,P64,IF(I7=1,P63)))</f>
        <v>-3.3147309955797732E-2</v>
      </c>
      <c r="W65" s="105">
        <v>15</v>
      </c>
      <c r="X65" s="106" t="s">
        <v>421</v>
      </c>
      <c r="Y65" s="148">
        <v>0.26245768229166672</v>
      </c>
      <c r="Z65" t="s">
        <v>275</v>
      </c>
      <c r="AA65" s="106" t="s">
        <v>422</v>
      </c>
      <c r="AB65">
        <v>2.0510131835937501E-2</v>
      </c>
      <c r="AC65" s="148"/>
      <c r="AU65" s="148">
        <v>2000</v>
      </c>
      <c r="AV65" s="148">
        <f>($AB$38*AU65)+($Y$38*100)</f>
        <v>41.203180301783853</v>
      </c>
      <c r="AW65" s="148">
        <f>($AB$46*AU65)+($Y$46*100)</f>
        <v>39.530535325870595</v>
      </c>
      <c r="AX65" s="148">
        <f>($AB$54*AU65)+($Y$54*100)</f>
        <v>37.789565461210053</v>
      </c>
      <c r="AY65">
        <f>($AB$56*AU65)+($Y$56*100)</f>
        <v>40.863947683432272</v>
      </c>
      <c r="AZ65">
        <f>($AB$64*AU65)+($Y$64*100)</f>
        <v>39.926579470442036</v>
      </c>
      <c r="BA65">
        <f>($AB$72*AU65)+($Y$72*100)</f>
        <v>38.47849918343227</v>
      </c>
      <c r="BB65" s="148">
        <f>($AB$74*AU65)+($Y$74*100)</f>
        <v>32.424164303035525</v>
      </c>
      <c r="BE65" s="148">
        <v>2000</v>
      </c>
      <c r="BF65" s="148">
        <f>($Y$39*100)+($AB$39*BE65)</f>
        <v>87.330427042643237</v>
      </c>
      <c r="BG65" s="148">
        <f>($Y$47*100)+($AB$47*BE65)</f>
        <v>72.97469889322916</v>
      </c>
      <c r="BH65" s="148">
        <f>($Y$55*100)+($AB$55*BE65)</f>
        <v>68.500861002604168</v>
      </c>
      <c r="BI65">
        <f>($Y$57*100)+($AB$57*BE65)</f>
        <v>74.48151041666668</v>
      </c>
      <c r="BJ65">
        <f>($Y$65*100)+($AB$65*BE65)</f>
        <v>67.266031901041671</v>
      </c>
      <c r="BK65">
        <f>($Y$73*100)+($AB$73*BE65)</f>
        <v>65.076610514322923</v>
      </c>
      <c r="BL65" s="148">
        <f>($Y$75*100)+($AB$75*BE65)</f>
        <v>61.612955729166671</v>
      </c>
    </row>
    <row r="66" spans="7:64">
      <c r="G66" t="s">
        <v>218</v>
      </c>
      <c r="H66">
        <v>22</v>
      </c>
      <c r="J66">
        <v>41.075714168194359</v>
      </c>
      <c r="K66">
        <v>0.49131191294277232</v>
      </c>
      <c r="L66" s="65">
        <v>0.75313391434518917</v>
      </c>
      <c r="M66" s="85"/>
      <c r="W66" s="105">
        <v>16</v>
      </c>
      <c r="X66" s="106" t="s">
        <v>423</v>
      </c>
      <c r="Y66">
        <v>4.9509999999999997E-3</v>
      </c>
      <c r="Z66" t="s">
        <v>276</v>
      </c>
      <c r="AA66" s="106" t="s">
        <v>424</v>
      </c>
      <c r="AB66" s="148">
        <v>1.9413459966716135E-2</v>
      </c>
      <c r="AC66" s="148"/>
      <c r="AU66" s="148">
        <v>4000</v>
      </c>
      <c r="AV66" s="148">
        <f>($AB$38*AU66)+($Y$38*100)</f>
        <v>81.803920965862943</v>
      </c>
      <c r="AW66" s="148">
        <f>($AB$46*AU66)+($Y$46*100)</f>
        <v>78.263051110383387</v>
      </c>
      <c r="AX66" s="148">
        <f>($AB$54*AU66)+($Y$54*100)</f>
        <v>75.035231922420095</v>
      </c>
      <c r="AY66" s="148">
        <f>($AB$56*AU66)+($Y$56*100)</f>
        <v>81.564846366864543</v>
      </c>
      <c r="AZ66" s="148">
        <f>($AB$64*AU66)+($Y$64*100)</f>
        <v>79.678877088923116</v>
      </c>
      <c r="BA66" s="148">
        <f>($AB$72*AU66)+($Y$72*100)</f>
        <v>76.12459536686454</v>
      </c>
      <c r="BB66" s="148">
        <f>($AB$74*AU66)+($Y$74*100)</f>
        <v>64.26011562535669</v>
      </c>
      <c r="BE66" s="148">
        <v>4000</v>
      </c>
      <c r="BF66" s="148">
        <f>($Y$39*100)+($AB$39*BE66)</f>
        <v>128.46196085611979</v>
      </c>
      <c r="BG66" s="148">
        <f>($Y$47*100)+($AB$47*BE66)</f>
        <v>114.05519205729166</v>
      </c>
      <c r="BH66" s="148">
        <f>($Y$55*100)+($AB$55*BE66)</f>
        <v>109.56782877604168</v>
      </c>
      <c r="BI66" s="148">
        <f>($Y$57*100)+($AB$57*BE66)</f>
        <v>115.56490885416667</v>
      </c>
      <c r="BJ66" s="148">
        <f>($Y$65*100)+($AB$65*BE66)</f>
        <v>108.28629557291667</v>
      </c>
      <c r="BK66" s="148">
        <f>($Y$73*100)+($AB$73*BE66)</f>
        <v>106.13760904947918</v>
      </c>
      <c r="BL66" s="148">
        <f>($Y$75*100)+($AB$75*BE66)</f>
        <v>102.62858072916667</v>
      </c>
    </row>
    <row r="67" spans="7:64">
      <c r="G67" t="s">
        <v>219</v>
      </c>
      <c r="H67">
        <v>12</v>
      </c>
      <c r="J67">
        <v>39.250074386368929</v>
      </c>
      <c r="K67">
        <v>0.49568944832616713</v>
      </c>
      <c r="L67">
        <v>0.55650466115851149</v>
      </c>
      <c r="W67" s="105">
        <v>16</v>
      </c>
      <c r="X67" s="106" t="s">
        <v>425</v>
      </c>
      <c r="Y67" s="148">
        <v>0.2513069010416667</v>
      </c>
      <c r="Z67" t="s">
        <v>276</v>
      </c>
      <c r="AA67" s="106" t="s">
        <v>426</v>
      </c>
      <c r="AB67">
        <v>2.0526837158203127E-2</v>
      </c>
      <c r="AC67" s="148"/>
      <c r="AU67" s="148">
        <v>6000</v>
      </c>
      <c r="AV67" s="148">
        <f>($AB$38*AU67)+($Y$38*100)</f>
        <v>122.40466162994204</v>
      </c>
      <c r="AW67" s="148">
        <f>($AB$46*AU67)+($Y$46*100)</f>
        <v>116.99556689489617</v>
      </c>
      <c r="AX67" s="148">
        <f>($AB$54*AU67)+($Y$54*100)</f>
        <v>112.28089838363016</v>
      </c>
      <c r="AY67" s="148">
        <f>($AB$56*AU67)+($Y$56*100)</f>
        <v>122.2657450502968</v>
      </c>
      <c r="AZ67" s="148">
        <f>($AB$64*AU67)+($Y$64*100)</f>
        <v>119.4311747074042</v>
      </c>
      <c r="BA67" s="148">
        <f>($AB$72*AU67)+($Y$72*100)</f>
        <v>113.77069155029682</v>
      </c>
      <c r="BB67" s="148">
        <f>($AB$74*AU67)+($Y$74*100)</f>
        <v>96.096066947677855</v>
      </c>
      <c r="BE67" s="148">
        <v>6000</v>
      </c>
      <c r="BF67" s="148">
        <f>($Y$39*100)+($AB$39*BE67)</f>
        <v>169.59349466959634</v>
      </c>
      <c r="BG67" s="148">
        <f>($Y$47*100)+($AB$47*BE67)</f>
        <v>155.13568522135415</v>
      </c>
      <c r="BH67" s="148">
        <f>($Y$55*100)+($AB$55*BE67)</f>
        <v>150.63479654947918</v>
      </c>
      <c r="BI67" s="148">
        <f>($Y$57*100)+($AB$57*BE67)</f>
        <v>156.6483072916667</v>
      </c>
      <c r="BJ67" s="148">
        <f>($Y$65*100)+($AB$65*BE67)</f>
        <v>149.30655924479169</v>
      </c>
      <c r="BK67" s="148">
        <f>($Y$73*100)+($AB$73*BE67)</f>
        <v>147.19860758463543</v>
      </c>
      <c r="BL67" s="148">
        <f>($Y$75*100)+($AB$75*BE67)</f>
        <v>143.64420572916666</v>
      </c>
    </row>
    <row r="68" spans="7:64">
      <c r="G68" t="s">
        <v>220</v>
      </c>
      <c r="H68">
        <v>21</v>
      </c>
      <c r="J68">
        <v>34.371334948351731</v>
      </c>
      <c r="K68">
        <v>0.49261369116512344</v>
      </c>
      <c r="L68">
        <v>0.7624481100453796</v>
      </c>
      <c r="W68" s="105">
        <v>17</v>
      </c>
      <c r="X68" s="106" t="s">
        <v>427</v>
      </c>
      <c r="Y68">
        <v>6.1216274898396403E-3</v>
      </c>
      <c r="Z68" t="s">
        <v>277</v>
      </c>
      <c r="AA68" s="106" t="s">
        <v>428</v>
      </c>
      <c r="AB68" s="148">
        <v>2.0003385748601162E-2</v>
      </c>
      <c r="AC68" s="148"/>
      <c r="AU68" s="148"/>
      <c r="AV68" s="148"/>
      <c r="AW68" s="148"/>
      <c r="AX68" s="148"/>
      <c r="AY68" s="148"/>
      <c r="AZ68" s="148"/>
      <c r="BA68" s="148"/>
      <c r="BB68" s="148"/>
      <c r="BE68" s="148"/>
      <c r="BF68" s="148" t="s">
        <v>563</v>
      </c>
      <c r="BG68" s="148" t="s">
        <v>564</v>
      </c>
      <c r="BH68" s="148" t="s">
        <v>565</v>
      </c>
      <c r="BI68" s="148" t="s">
        <v>567</v>
      </c>
      <c r="BJ68" s="148" t="s">
        <v>568</v>
      </c>
      <c r="BK68" s="148" t="s">
        <v>569</v>
      </c>
      <c r="BL68" s="148" t="s">
        <v>544</v>
      </c>
    </row>
    <row r="69" spans="7:64">
      <c r="G69" t="s">
        <v>221</v>
      </c>
      <c r="H69">
        <v>11</v>
      </c>
      <c r="J69">
        <v>39.135887112572263</v>
      </c>
      <c r="K69">
        <v>0.49569664657555279</v>
      </c>
      <c r="L69">
        <v>0.60916145726254123</v>
      </c>
      <c r="W69" s="105">
        <v>17</v>
      </c>
      <c r="X69" s="106" t="s">
        <v>429</v>
      </c>
      <c r="Y69" s="148">
        <v>0.2870686197916667</v>
      </c>
      <c r="Z69" t="s">
        <v>277</v>
      </c>
      <c r="AA69" s="106" t="s">
        <v>430</v>
      </c>
      <c r="AB69">
        <v>2.0539562988281253E-2</v>
      </c>
      <c r="AC69" s="148"/>
      <c r="AU69" s="148"/>
      <c r="AV69" s="148"/>
      <c r="AW69" s="148"/>
      <c r="AX69" s="148"/>
      <c r="AY69" s="148"/>
      <c r="AZ69" s="148"/>
      <c r="BA69" s="148"/>
      <c r="BB69" s="148"/>
      <c r="BE69" s="148">
        <v>2000</v>
      </c>
      <c r="BF69" s="148">
        <f>BF65*10/100</f>
        <v>8.7330427042643244</v>
      </c>
      <c r="BG69" s="148">
        <f t="shared" ref="BG69:BL69" si="37">BG65*10/100</f>
        <v>7.2974698893229162</v>
      </c>
      <c r="BH69" s="148">
        <f t="shared" si="37"/>
        <v>6.8500861002604161</v>
      </c>
      <c r="BI69" s="148">
        <f t="shared" si="37"/>
        <v>7.4481510416666676</v>
      </c>
      <c r="BJ69" s="148">
        <f t="shared" si="37"/>
        <v>6.7266031901041679</v>
      </c>
      <c r="BK69" s="148">
        <f t="shared" si="37"/>
        <v>6.5076610514322919</v>
      </c>
      <c r="BL69" s="148">
        <f t="shared" si="37"/>
        <v>6.1612955729166679</v>
      </c>
    </row>
    <row r="70" spans="7:64">
      <c r="W70" s="105">
        <v>18</v>
      </c>
      <c r="X70" s="106" t="s">
        <v>431</v>
      </c>
      <c r="Y70">
        <v>5.3179341620776125E-3</v>
      </c>
      <c r="Z70" t="s">
        <v>278</v>
      </c>
      <c r="AA70" s="106" t="s">
        <v>432</v>
      </c>
      <c r="AB70" s="148">
        <v>1.9603279081586284E-2</v>
      </c>
      <c r="AC70" s="148"/>
      <c r="AU70" s="148"/>
      <c r="AV70" s="148"/>
      <c r="AW70" s="148"/>
      <c r="AX70" s="148"/>
      <c r="AY70" s="148"/>
      <c r="AZ70" s="148"/>
      <c r="BA70" s="148"/>
      <c r="BB70" s="148"/>
      <c r="BE70" s="148">
        <v>4000</v>
      </c>
      <c r="BF70" s="148">
        <f t="shared" ref="BF70:BL70" si="38">BF66*10/100</f>
        <v>12.846196085611977</v>
      </c>
      <c r="BG70" s="148">
        <f t="shared" si="38"/>
        <v>11.405519205729165</v>
      </c>
      <c r="BH70" s="148">
        <f t="shared" si="38"/>
        <v>10.956782877604169</v>
      </c>
      <c r="BI70" s="148">
        <f t="shared" si="38"/>
        <v>11.556490885416668</v>
      </c>
      <c r="BJ70" s="148">
        <f t="shared" si="38"/>
        <v>10.828629557291668</v>
      </c>
      <c r="BK70" s="148">
        <f t="shared" si="38"/>
        <v>10.613760904947917</v>
      </c>
      <c r="BL70" s="148">
        <f t="shared" si="38"/>
        <v>10.262858072916668</v>
      </c>
    </row>
    <row r="71" spans="7:64">
      <c r="W71" s="105">
        <v>18</v>
      </c>
      <c r="X71" s="106" t="s">
        <v>433</v>
      </c>
      <c r="Y71" s="148">
        <v>0.2513069010416667</v>
      </c>
      <c r="Z71" t="s">
        <v>278</v>
      </c>
      <c r="AA71" s="106" t="s">
        <v>434</v>
      </c>
      <c r="AB71">
        <v>2.0535278320312499E-2</v>
      </c>
      <c r="AC71" s="148"/>
      <c r="AU71" s="148"/>
      <c r="AV71" s="148"/>
      <c r="AW71" s="148"/>
      <c r="AX71" s="148"/>
      <c r="AY71" s="148"/>
      <c r="AZ71" s="148"/>
      <c r="BA71" s="148"/>
      <c r="BB71" s="148"/>
      <c r="BE71" s="148">
        <v>6000</v>
      </c>
      <c r="BF71" s="148">
        <f t="shared" ref="BF71:BL71" si="39">BF67*10/100</f>
        <v>16.959349466959633</v>
      </c>
      <c r="BG71" s="148">
        <f t="shared" si="39"/>
        <v>15.513568522135415</v>
      </c>
      <c r="BH71" s="148">
        <f t="shared" si="39"/>
        <v>15.063479654947919</v>
      </c>
      <c r="BI71" s="148">
        <f t="shared" si="39"/>
        <v>15.66483072916667</v>
      </c>
      <c r="BJ71" s="148">
        <f t="shared" si="39"/>
        <v>14.93065592447917</v>
      </c>
      <c r="BK71" s="148">
        <f t="shared" si="39"/>
        <v>14.719860758463541</v>
      </c>
      <c r="BL71" s="148">
        <f t="shared" si="39"/>
        <v>14.364420572916664</v>
      </c>
    </row>
    <row r="72" spans="7:64">
      <c r="W72" s="105">
        <v>19</v>
      </c>
      <c r="X72" s="106" t="s">
        <v>435</v>
      </c>
      <c r="Y72">
        <v>8.3240299999999996E-3</v>
      </c>
      <c r="Z72" t="s">
        <v>279</v>
      </c>
      <c r="AA72" s="106" t="s">
        <v>436</v>
      </c>
      <c r="AB72" s="148">
        <v>1.8823048091716137E-2</v>
      </c>
      <c r="AC72" s="148"/>
      <c r="AU72" s="148"/>
      <c r="AV72" s="148"/>
      <c r="AW72" s="148"/>
      <c r="AX72" s="148"/>
      <c r="AY72" s="148"/>
      <c r="AZ72" s="148"/>
      <c r="BA72" s="148"/>
      <c r="BB72" s="148"/>
      <c r="BE72" s="148"/>
      <c r="BF72" s="148"/>
      <c r="BG72" s="148"/>
      <c r="BH72" s="148"/>
      <c r="BI72" s="148"/>
      <c r="BJ72" s="148"/>
      <c r="BK72" s="148"/>
      <c r="BL72" s="148"/>
    </row>
    <row r="73" spans="7:64">
      <c r="G73" s="76"/>
      <c r="W73" s="105">
        <v>19</v>
      </c>
      <c r="X73" s="106" t="s">
        <v>437</v>
      </c>
      <c r="Y73" s="148">
        <v>0.24015611979166671</v>
      </c>
      <c r="Z73" t="s">
        <v>279</v>
      </c>
      <c r="AA73" s="106" t="s">
        <v>438</v>
      </c>
      <c r="AB73">
        <v>2.0530499267578127E-2</v>
      </c>
      <c r="AC73" s="148"/>
      <c r="AU73" s="148"/>
      <c r="AV73" s="148"/>
      <c r="AW73" s="148"/>
      <c r="AX73" s="148"/>
      <c r="AY73" s="148"/>
      <c r="AZ73" s="148"/>
      <c r="BA73" s="148"/>
      <c r="BB73" s="148"/>
      <c r="BE73" s="148"/>
      <c r="BF73" s="148"/>
      <c r="BG73" s="148"/>
      <c r="BH73" s="148"/>
      <c r="BI73" s="148"/>
      <c r="BJ73" s="148"/>
      <c r="BK73" s="148"/>
      <c r="BL73" s="148"/>
    </row>
    <row r="74" spans="7:64">
      <c r="W74" s="108"/>
      <c r="X74" s="109" t="s">
        <v>552</v>
      </c>
      <c r="Y74">
        <v>5.8821298071435688E-3</v>
      </c>
      <c r="Z74" s="109"/>
      <c r="AA74" s="109" t="s">
        <v>553</v>
      </c>
      <c r="AB74" s="148">
        <v>1.5917975661160582E-2</v>
      </c>
      <c r="AC74" s="148"/>
      <c r="AU74" s="148"/>
      <c r="AV74" s="148"/>
      <c r="AW74" s="148"/>
      <c r="AX74" s="148"/>
      <c r="AY74" s="148"/>
      <c r="AZ74" s="148"/>
      <c r="BA74" s="148"/>
      <c r="BB74" s="148"/>
      <c r="BE74" s="148"/>
      <c r="BF74" s="148"/>
      <c r="BG74" s="148"/>
      <c r="BH74" s="148"/>
      <c r="BI74" s="148"/>
      <c r="BJ74" s="148"/>
      <c r="BK74" s="148"/>
      <c r="BL74" s="148"/>
    </row>
    <row r="75" spans="7:64">
      <c r="X75" s="15" t="s">
        <v>555</v>
      </c>
      <c r="Y75">
        <v>0.20597330729166669</v>
      </c>
      <c r="AA75" s="15" t="s">
        <v>554</v>
      </c>
      <c r="AB75" s="148">
        <v>2.05078125E-2</v>
      </c>
      <c r="AC75" s="148"/>
      <c r="AU75" s="148"/>
      <c r="AV75" s="148"/>
      <c r="AW75" s="148"/>
      <c r="AX75" s="148"/>
      <c r="AY75" s="148"/>
      <c r="AZ75" s="148"/>
      <c r="BA75" s="148"/>
      <c r="BB75" s="148"/>
      <c r="BE75" s="148"/>
      <c r="BF75" s="148"/>
      <c r="BG75" s="148"/>
      <c r="BH75" s="148"/>
      <c r="BI75" s="148"/>
      <c r="BJ75" s="148"/>
      <c r="BK75" s="148"/>
      <c r="BL75" s="148"/>
    </row>
    <row r="76" spans="7:64" ht="21">
      <c r="G76" s="114"/>
      <c r="H76" s="114"/>
      <c r="I76" s="114"/>
      <c r="J76" s="114"/>
      <c r="K76" s="114"/>
      <c r="L76" s="114"/>
      <c r="M76" s="114"/>
      <c r="N76" s="114"/>
      <c r="O76" s="114"/>
      <c r="P76" s="114"/>
      <c r="Q76" s="113" t="s">
        <v>469</v>
      </c>
      <c r="R76" s="114"/>
      <c r="S76" s="114" t="s">
        <v>487</v>
      </c>
      <c r="T76" s="114">
        <f>'New ERA Environment'!C21</f>
        <v>1600</v>
      </c>
      <c r="U76" s="114"/>
      <c r="V76" s="114"/>
      <c r="W76" s="114"/>
      <c r="X76" s="114"/>
      <c r="Y76" s="114"/>
      <c r="Z76" s="114"/>
      <c r="AA76" s="114"/>
      <c r="AU76" s="148"/>
      <c r="AV76" s="148"/>
      <c r="AW76" s="148"/>
      <c r="AX76" s="148"/>
      <c r="AY76" s="148"/>
      <c r="AZ76" s="148"/>
      <c r="BA76" s="148"/>
      <c r="BB76" s="148"/>
      <c r="BE76" s="148"/>
      <c r="BF76" s="148"/>
      <c r="BG76" s="148"/>
      <c r="BH76" s="148"/>
      <c r="BI76" s="148"/>
      <c r="BJ76" s="148"/>
      <c r="BK76" s="148"/>
      <c r="BL76" s="148"/>
    </row>
    <row r="77" spans="7:64">
      <c r="G77" s="114"/>
      <c r="H77" s="114"/>
      <c r="I77" s="114"/>
      <c r="J77" s="114"/>
      <c r="K77" s="114" t="s">
        <v>465</v>
      </c>
      <c r="L77" s="114"/>
      <c r="M77" s="114"/>
      <c r="N77" s="114"/>
      <c r="O77" s="114"/>
      <c r="P77" s="114"/>
      <c r="Q77" s="115" t="s">
        <v>477</v>
      </c>
      <c r="R77" s="114"/>
      <c r="S77" s="114"/>
      <c r="T77" s="114"/>
      <c r="U77" s="114"/>
      <c r="V77" s="114"/>
      <c r="W77" s="115" t="s">
        <v>475</v>
      </c>
      <c r="X77" s="114"/>
      <c r="Y77" s="114"/>
      <c r="Z77" s="114"/>
      <c r="AA77" s="114"/>
      <c r="AU77" s="148"/>
      <c r="AV77" s="148"/>
      <c r="AW77" s="148"/>
      <c r="AX77" s="148"/>
      <c r="AY77" s="148"/>
      <c r="AZ77" s="148"/>
      <c r="BA77" s="148"/>
      <c r="BB77" s="148"/>
      <c r="BE77" s="148"/>
      <c r="BF77" s="148"/>
      <c r="BG77" s="148"/>
      <c r="BH77" s="148"/>
      <c r="BI77" s="148"/>
      <c r="BJ77" s="148"/>
      <c r="BK77" s="148"/>
      <c r="BL77" s="148"/>
    </row>
    <row r="78" spans="7:64">
      <c r="G78" s="114"/>
      <c r="H78" s="114"/>
      <c r="I78" s="114"/>
      <c r="J78" s="114"/>
      <c r="K78" s="114" t="s">
        <v>26</v>
      </c>
      <c r="L78" s="114"/>
      <c r="M78" s="120" t="s">
        <v>26</v>
      </c>
      <c r="N78" s="120"/>
      <c r="O78" s="114"/>
      <c r="P78" s="114"/>
      <c r="Q78" s="114" t="s">
        <v>451</v>
      </c>
      <c r="R78" s="114" t="s">
        <v>470</v>
      </c>
      <c r="S78" s="114" t="s">
        <v>471</v>
      </c>
      <c r="T78" s="114" t="s">
        <v>472</v>
      </c>
      <c r="U78" s="114" t="s">
        <v>473</v>
      </c>
      <c r="V78" s="114"/>
      <c r="W78" s="114" t="s">
        <v>470</v>
      </c>
      <c r="X78" s="114" t="s">
        <v>471</v>
      </c>
      <c r="Y78" s="114" t="s">
        <v>472</v>
      </c>
      <c r="Z78" s="114" t="s">
        <v>473</v>
      </c>
      <c r="AA78" s="114"/>
      <c r="AU78" s="148"/>
      <c r="AV78" s="148"/>
      <c r="AW78" s="148"/>
      <c r="AX78" s="148"/>
      <c r="AY78" s="148"/>
      <c r="AZ78" s="148"/>
      <c r="BA78" s="148"/>
      <c r="BB78" s="148"/>
      <c r="BE78" s="148"/>
      <c r="BF78" s="148"/>
      <c r="BG78" s="148"/>
      <c r="BH78" s="148"/>
      <c r="BI78" s="148"/>
      <c r="BJ78" s="148"/>
      <c r="BK78" s="148"/>
      <c r="BL78" s="148"/>
    </row>
    <row r="79" spans="7:64">
      <c r="G79" s="114"/>
      <c r="H79" s="114"/>
      <c r="I79" s="114"/>
      <c r="J79" s="114"/>
      <c r="K79" s="114" t="s">
        <v>168</v>
      </c>
      <c r="L79" s="114" t="s">
        <v>337</v>
      </c>
      <c r="M79" s="110">
        <f>L90</f>
        <v>1</v>
      </c>
      <c r="N79" s="114"/>
      <c r="O79" s="114"/>
      <c r="P79" s="121" t="s">
        <v>474</v>
      </c>
      <c r="Q79" s="114"/>
      <c r="R79" s="114">
        <v>0.1968838</v>
      </c>
      <c r="S79" s="114">
        <v>9.9349600000000029E-5</v>
      </c>
      <c r="T79" s="114">
        <v>0</v>
      </c>
      <c r="U79" s="114">
        <f>Z79*4*1024</f>
        <v>3.5852500000000079E-2</v>
      </c>
      <c r="V79" s="114"/>
      <c r="W79" s="114">
        <f>0.4134/100</f>
        <v>4.1339999999999997E-3</v>
      </c>
      <c r="X79" s="116">
        <f>0.0016214/100</f>
        <v>1.6214000000000001E-5</v>
      </c>
      <c r="Y79" s="116">
        <v>0.32100830078124998</v>
      </c>
      <c r="Z79" s="116">
        <v>8.7530517578125192E-6</v>
      </c>
      <c r="AA79" s="114"/>
      <c r="AU79" s="148"/>
      <c r="AV79" s="148"/>
      <c r="AW79" s="148"/>
      <c r="AX79" s="148"/>
      <c r="AY79" s="148"/>
      <c r="AZ79" s="148"/>
      <c r="BA79" s="148"/>
      <c r="BB79" s="148"/>
      <c r="BE79" s="148"/>
      <c r="BF79" s="148"/>
      <c r="BG79" s="148"/>
      <c r="BH79" s="148"/>
      <c r="BI79" s="148"/>
      <c r="BJ79" s="148"/>
      <c r="BK79" s="148"/>
      <c r="BL79" s="148"/>
    </row>
    <row r="80" spans="7:64">
      <c r="G80" s="114"/>
      <c r="H80" s="114"/>
      <c r="I80" s="114"/>
      <c r="J80" s="121" t="s">
        <v>449</v>
      </c>
      <c r="K80" s="114">
        <f>IF($A$6=3,R38*100,IF($A$6=2,R40*100,IF($A$6=1,R42*100)))</f>
        <v>0.74880000000000002</v>
      </c>
      <c r="L80" s="114">
        <f>IF($A$6=3,R39*100,IF($A$6=2,R41*100,IF($A$6=1,R43*100)))</f>
        <v>62.650399999999998</v>
      </c>
      <c r="M80" s="120" t="s">
        <v>168</v>
      </c>
      <c r="N80" s="120" t="s">
        <v>337</v>
      </c>
      <c r="O80" s="114"/>
      <c r="P80" s="121">
        <v>5</v>
      </c>
      <c r="Q80" s="114">
        <v>1.4757880000000004E-4</v>
      </c>
      <c r="R80" s="114">
        <v>0.19997480000000001</v>
      </c>
      <c r="S80" s="114">
        <v>1.1868260000000003E-4</v>
      </c>
      <c r="T80" s="114">
        <v>1323.9717000000001</v>
      </c>
      <c r="U80" s="114">
        <f>Z80*4*1024</f>
        <v>5.6547824999999989E-2</v>
      </c>
      <c r="V80" s="114"/>
      <c r="W80" s="114">
        <f>0.5686/100</f>
        <v>5.6860000000000001E-3</v>
      </c>
      <c r="X80" s="116">
        <f>0.0038666/100</f>
        <v>3.8665999999999999E-5</v>
      </c>
      <c r="Y80" s="116">
        <v>0.52603972167968749</v>
      </c>
      <c r="Z80" s="116">
        <v>1.3805621337890622E-5</v>
      </c>
      <c r="AA80" s="114"/>
    </row>
    <row r="81" spans="7:27">
      <c r="G81" s="114"/>
      <c r="H81" s="114"/>
      <c r="I81" s="114"/>
      <c r="J81" s="121" t="s">
        <v>454</v>
      </c>
      <c r="K81" s="114">
        <f>IF($A$6=3,($Q$12*Q38),IF($A$6=2,($Q$12*Q40),IF($A$6=1,($Q$12*Q42))))</f>
        <v>6.4899268683630522</v>
      </c>
      <c r="L81" s="114">
        <f>IF($A$6=3,($Q$12*Q39),IF($A$6=2,($Q$12*Q41),IF($A$6=1,($Q$12*Q43))))</f>
        <v>7.9668821630675087E-5</v>
      </c>
      <c r="M81" s="114"/>
      <c r="N81" s="114">
        <f>L80+L86/M79</f>
        <v>62.650479668821632</v>
      </c>
      <c r="O81" s="114"/>
      <c r="P81" s="121">
        <v>3</v>
      </c>
      <c r="Q81" s="114">
        <v>1.3872815000000001E-4</v>
      </c>
      <c r="R81" s="114">
        <v>0.1977428</v>
      </c>
      <c r="S81" s="114">
        <v>1.1556060000000003E-4</v>
      </c>
      <c r="T81" s="114">
        <v>568.78120000000001</v>
      </c>
      <c r="U81" s="114">
        <f>Z81*4*1024</f>
        <v>3.6942200000000071E-2</v>
      </c>
      <c r="V81" s="114"/>
      <c r="W81" s="114">
        <f>0.5686/100</f>
        <v>5.6860000000000001E-3</v>
      </c>
      <c r="X81" s="116">
        <f>0.0032422/100</f>
        <v>3.2422000000000002E-5</v>
      </c>
      <c r="Y81" s="116">
        <v>0.41754179687499993</v>
      </c>
      <c r="Z81" s="116">
        <v>9.0190917968750173E-6</v>
      </c>
      <c r="AA81" s="114"/>
    </row>
    <row r="82" spans="7:27">
      <c r="G82" s="114"/>
      <c r="H82" s="114"/>
      <c r="I82" s="114"/>
      <c r="J82" s="121" t="s">
        <v>453</v>
      </c>
      <c r="K82" s="114">
        <f>O18</f>
        <v>0</v>
      </c>
      <c r="L82" s="114">
        <f>P18</f>
        <v>0</v>
      </c>
      <c r="M82" s="114"/>
      <c r="N82" s="114">
        <f>N81/Start!F17</f>
        <v>83.533972891762176</v>
      </c>
      <c r="O82" s="114"/>
      <c r="P82" s="121">
        <v>1</v>
      </c>
      <c r="Q82" s="114">
        <v>1.2934972500000004E-4</v>
      </c>
      <c r="R82" s="114">
        <v>0.19852880000000001</v>
      </c>
      <c r="S82" s="114">
        <v>1.1324072500000002E-4</v>
      </c>
      <c r="T82" s="114">
        <v>339.97579999999999</v>
      </c>
      <c r="U82" s="114">
        <f>Z82*4*1024</f>
        <v>3.666705000000002E-2</v>
      </c>
      <c r="V82" s="114"/>
      <c r="W82" s="114">
        <f>0.5551/100</f>
        <v>5.5510000000000004E-3</v>
      </c>
      <c r="X82" s="116">
        <f>0.002778225/100</f>
        <v>2.778225E-5</v>
      </c>
      <c r="Y82" s="116">
        <v>0.37984174804687498</v>
      </c>
      <c r="Z82" s="116">
        <v>8.951916503906255E-6</v>
      </c>
      <c r="AA82" s="114"/>
    </row>
    <row r="83" spans="7:27">
      <c r="G83" s="114"/>
      <c r="H83" s="114"/>
      <c r="I83" s="114"/>
      <c r="J83" s="121" t="s">
        <v>452</v>
      </c>
      <c r="K83" s="114">
        <f>O19</f>
        <v>0</v>
      </c>
      <c r="L83" s="114">
        <f>P19</f>
        <v>0</v>
      </c>
      <c r="M83" s="114"/>
      <c r="N83" s="114">
        <f>H85/(Start!F17*100-Values!H80)</f>
        <v>0</v>
      </c>
      <c r="O83" s="114"/>
      <c r="P83" s="114"/>
      <c r="Q83" s="114" t="s">
        <v>453</v>
      </c>
      <c r="R83" s="114"/>
      <c r="S83" s="114"/>
      <c r="T83" s="114"/>
      <c r="U83" s="114"/>
      <c r="V83" s="114"/>
      <c r="W83" s="114" t="s">
        <v>85</v>
      </c>
      <c r="X83" s="117">
        <f>-0.0001415475/100</f>
        <v>-1.4154750000000002E-6</v>
      </c>
      <c r="Y83" s="118"/>
      <c r="Z83" s="117">
        <v>5.0207519531250135E-6</v>
      </c>
      <c r="AA83" s="114"/>
    </row>
    <row r="84" spans="7:27">
      <c r="G84" s="114"/>
      <c r="H84" s="114"/>
      <c r="I84" s="114"/>
      <c r="J84" s="121" t="s">
        <v>147</v>
      </c>
      <c r="K84" s="114">
        <f>IF(D5=2,(Q13+(Q11-Q12))*U39,0)</f>
        <v>0</v>
      </c>
      <c r="L84" s="114">
        <f>IF(D5=2,(O13+(O11-O12))*U40,0)</f>
        <v>0</v>
      </c>
      <c r="M84" s="114"/>
      <c r="N84" s="110">
        <f>L91</f>
        <v>4</v>
      </c>
      <c r="O84" s="114"/>
      <c r="P84" s="114"/>
      <c r="Q84" s="114" t="s">
        <v>452</v>
      </c>
      <c r="R84" s="114"/>
      <c r="S84" s="114"/>
      <c r="T84" s="114"/>
      <c r="U84" s="114"/>
      <c r="V84" s="114"/>
      <c r="W84" s="114" t="s">
        <v>484</v>
      </c>
      <c r="X84" s="116">
        <v>0</v>
      </c>
      <c r="Y84" s="118"/>
      <c r="Z84" s="116">
        <v>0</v>
      </c>
      <c r="AA84" s="114"/>
    </row>
    <row r="85" spans="7:27">
      <c r="G85" s="114"/>
      <c r="H85" s="114"/>
      <c r="I85" s="114"/>
      <c r="J85" s="121" t="s">
        <v>512</v>
      </c>
      <c r="K85" s="121">
        <f>R45*Q10</f>
        <v>0.33199999999999985</v>
      </c>
      <c r="L85" s="121"/>
      <c r="M85" s="114"/>
      <c r="N85" s="110">
        <f>(L80+L86/M79)/(N84/4)</f>
        <v>62.650479668821632</v>
      </c>
      <c r="O85" s="114"/>
      <c r="P85" s="114"/>
      <c r="Q85" s="114"/>
      <c r="R85" s="114"/>
      <c r="S85" s="114"/>
      <c r="T85" s="114"/>
      <c r="U85" s="114"/>
      <c r="V85" s="114"/>
      <c r="W85" s="114"/>
      <c r="X85" s="114"/>
      <c r="Y85" s="114"/>
      <c r="Z85" s="114"/>
      <c r="AA85" s="114"/>
    </row>
    <row r="86" spans="7:27">
      <c r="G86" s="114"/>
      <c r="H86" s="114"/>
      <c r="I86" s="114"/>
      <c r="J86" s="121" t="s">
        <v>455</v>
      </c>
      <c r="K86" s="114">
        <f>K81-K82-K83+K84+K85</f>
        <v>6.8219268683630521</v>
      </c>
      <c r="L86" s="114">
        <f>L81-L82-L83+L84</f>
        <v>7.9668821630675087E-5</v>
      </c>
      <c r="M86" s="110">
        <f>K80+K86/M79</f>
        <v>7.5707268683630522</v>
      </c>
      <c r="N86" s="114"/>
      <c r="O86" s="114"/>
      <c r="P86" s="114"/>
      <c r="Q86" s="114"/>
      <c r="R86" s="114"/>
      <c r="S86" s="114"/>
      <c r="T86" s="114"/>
      <c r="U86" s="114"/>
      <c r="V86" s="114"/>
      <c r="W86" s="114"/>
      <c r="X86" s="114"/>
      <c r="Y86" s="114"/>
      <c r="Z86" s="114"/>
      <c r="AA86" s="114"/>
    </row>
    <row r="87" spans="7:27">
      <c r="G87" s="114"/>
      <c r="H87" s="114"/>
      <c r="I87" s="114"/>
      <c r="J87" s="121" t="s">
        <v>456</v>
      </c>
      <c r="K87" s="114">
        <f>ROUNDUP(K86/(Start!D17*100-Values!K80),0)</f>
        <v>1</v>
      </c>
      <c r="L87" s="114">
        <f>((L80+(L86/K87))/4)/100</f>
        <v>0.15662619917205409</v>
      </c>
      <c r="M87" s="114"/>
      <c r="N87" s="114"/>
      <c r="O87" s="114"/>
      <c r="P87" s="114"/>
      <c r="Q87" s="115" t="s">
        <v>478</v>
      </c>
      <c r="R87" s="114"/>
      <c r="S87" s="114" t="s">
        <v>168</v>
      </c>
      <c r="T87" s="114" t="s">
        <v>337</v>
      </c>
      <c r="U87" s="114" t="s">
        <v>482</v>
      </c>
      <c r="V87" s="114" t="s">
        <v>489</v>
      </c>
      <c r="W87" s="115" t="s">
        <v>476</v>
      </c>
      <c r="X87" s="114"/>
      <c r="Y87" s="114"/>
      <c r="Z87" s="114"/>
      <c r="AA87" s="114"/>
    </row>
    <row r="88" spans="7:27">
      <c r="G88" s="114"/>
      <c r="H88" s="114"/>
      <c r="I88" s="114"/>
      <c r="J88" s="121"/>
      <c r="K88" s="121" t="s">
        <v>515</v>
      </c>
      <c r="L88" s="114" t="str">
        <f>IF(L87&lt;Start!F17,"yes","no")</f>
        <v>yes</v>
      </c>
      <c r="M88" s="114">
        <f>M86/100</f>
        <v>7.5707268683630521E-2</v>
      </c>
      <c r="N88" s="114">
        <f>N85/100</f>
        <v>0.62650479668821635</v>
      </c>
      <c r="O88" s="114"/>
      <c r="P88" s="114"/>
      <c r="Q88" s="114"/>
      <c r="R88" s="119" t="s">
        <v>479</v>
      </c>
      <c r="S88" s="114">
        <f>IF(Q7=3,R80,IF(Q7=2,R81,IF(Q7=1,R82)))</f>
        <v>0.19997480000000001</v>
      </c>
      <c r="T88" s="114">
        <f>IF(Q7=3,T80,IF(Q7=2,T81,IF(Q7=1,T82)))</f>
        <v>1323.9717000000001</v>
      </c>
      <c r="U88" s="114">
        <f>IF(AB10=1,2,IF(AB10=2,3.5,IF(AB10=3,5,IF(AB10=4,6.5))))</f>
        <v>3.5</v>
      </c>
      <c r="V88" s="114">
        <f>IF(Q7=3,Q80,IF(Q7=2,Q81,IF(Q7=1,Q82)))</f>
        <v>1.4757880000000004E-4</v>
      </c>
      <c r="W88" s="114"/>
      <c r="X88" s="120" t="s">
        <v>168</v>
      </c>
      <c r="Y88" s="120" t="s">
        <v>337</v>
      </c>
      <c r="Z88" s="114"/>
      <c r="AA88" s="114"/>
    </row>
    <row r="89" spans="7:27">
      <c r="G89" s="114"/>
      <c r="H89" s="114"/>
      <c r="I89" s="114"/>
      <c r="J89" s="121"/>
      <c r="K89" s="121" t="s">
        <v>516</v>
      </c>
      <c r="L89" s="114">
        <f>IF(L88="yes",EVEN(((L80+L86)/(Start!F17*100)*4)),"you can't scale up sukka!")</f>
        <v>4</v>
      </c>
      <c r="M89" s="114"/>
      <c r="N89" s="114"/>
      <c r="O89" s="114"/>
      <c r="P89" s="114"/>
      <c r="Q89" s="115"/>
      <c r="R89" s="119" t="s">
        <v>480</v>
      </c>
      <c r="S89" s="114">
        <f>IF(Q7=3,S80,IF(Q7=2,S81,IF(Q7=1,S82)))</f>
        <v>1.1868260000000003E-4</v>
      </c>
      <c r="T89" s="114">
        <f>IF(Q7=3,U80,IF(Q7=2,U81,IF(Q7=1,U82)))</f>
        <v>5.6547824999999989E-2</v>
      </c>
      <c r="U89" s="114"/>
      <c r="V89" s="114"/>
      <c r="W89" s="119"/>
      <c r="X89" s="114">
        <f>IF(T7=3,W80,IF(T7=2,W81,IF(T7=1,W82)))</f>
        <v>5.6860000000000001E-3</v>
      </c>
      <c r="Y89" s="114">
        <f>IF(T7=3,Y80,IF(T7=2,Y81,IF(T7=1,Y82)))</f>
        <v>0.52603972167968749</v>
      </c>
      <c r="Z89" s="114" t="s">
        <v>449</v>
      </c>
      <c r="AA89" s="114"/>
    </row>
    <row r="90" spans="7:27">
      <c r="G90" s="114"/>
      <c r="H90" s="114"/>
      <c r="I90" s="114"/>
      <c r="J90" s="121"/>
      <c r="K90" s="121" t="s">
        <v>517</v>
      </c>
      <c r="L90" s="114">
        <f>IF(L88="no",ROUNDUP((L86/((Start!F17*100)-L80)/4),0),K87)</f>
        <v>1</v>
      </c>
      <c r="M90" s="114"/>
      <c r="N90" s="114"/>
      <c r="O90" s="114"/>
      <c r="P90" s="114"/>
      <c r="Q90" s="115"/>
      <c r="R90" s="119" t="s">
        <v>488</v>
      </c>
      <c r="S90" s="114">
        <f>T76*S89*AB11</f>
        <v>0.18989216000000003</v>
      </c>
      <c r="T90" s="114"/>
      <c r="U90" s="114"/>
      <c r="V90" s="114"/>
      <c r="W90" s="119"/>
      <c r="X90" s="114">
        <f>IF(T7=3,X80,IF(T7=2,X81,IF(T7=1,X82)))</f>
        <v>3.8665999999999999E-5</v>
      </c>
      <c r="Y90" s="114">
        <f>IF(T7=3,Z80,IF(T7=2,Z81,IF(T7=1,Z82)))</f>
        <v>1.3805621337890622E-5</v>
      </c>
      <c r="Z90" s="114" t="s">
        <v>485</v>
      </c>
      <c r="AA90" s="114"/>
    </row>
    <row r="91" spans="7:27">
      <c r="G91" s="114"/>
      <c r="H91" s="114"/>
      <c r="I91" s="114"/>
      <c r="J91" s="114"/>
      <c r="K91" s="121" t="s">
        <v>518</v>
      </c>
      <c r="L91" s="114">
        <f>EVEN(((L86/L90)+L80)/(Start!F17*100)*4)</f>
        <v>4</v>
      </c>
      <c r="M91" s="114"/>
      <c r="N91" s="114"/>
      <c r="O91" s="114"/>
      <c r="P91" s="114"/>
      <c r="Q91" s="114"/>
      <c r="R91" s="121" t="s">
        <v>481</v>
      </c>
      <c r="S91" s="114">
        <f>S90+S88</f>
        <v>0.38986696000000004</v>
      </c>
      <c r="T91" s="114">
        <f>2048+(U88*T76)+T88+(T89*T76)</f>
        <v>9062.4482200000002</v>
      </c>
      <c r="U91" s="114">
        <f>T91/1024</f>
        <v>8.8500470898437502</v>
      </c>
      <c r="V91" s="114"/>
      <c r="W91" s="121"/>
      <c r="X91" s="114">
        <f>X90*AB11*T76</f>
        <v>6.18656E-2</v>
      </c>
      <c r="Y91" s="114">
        <f>Y90*AB11*T76</f>
        <v>2.2088994140624995E-2</v>
      </c>
      <c r="Z91" s="114" t="s">
        <v>454</v>
      </c>
      <c r="AA91" s="114"/>
    </row>
    <row r="92" spans="7:27">
      <c r="G92" s="114"/>
      <c r="H92" s="114"/>
      <c r="I92" s="114"/>
      <c r="J92" s="114"/>
      <c r="K92" s="114"/>
      <c r="L92" s="114"/>
      <c r="M92" s="114"/>
      <c r="N92" s="114"/>
      <c r="O92" s="114"/>
      <c r="P92" s="114"/>
      <c r="Q92" s="114"/>
      <c r="R92" s="114" t="s">
        <v>486</v>
      </c>
      <c r="S92" s="114"/>
      <c r="T92" s="114">
        <f>T91/(8*1024)</f>
        <v>1.1062558862304688</v>
      </c>
      <c r="U92" s="114"/>
      <c r="V92" s="114"/>
      <c r="W92" s="121"/>
      <c r="X92" s="114">
        <v>0</v>
      </c>
      <c r="Y92" s="114">
        <v>0</v>
      </c>
      <c r="Z92" s="114" t="s">
        <v>452</v>
      </c>
      <c r="AA92" s="114"/>
    </row>
    <row r="93" spans="7:27">
      <c r="G93" s="114"/>
      <c r="H93" s="114"/>
      <c r="I93" s="114"/>
      <c r="J93" s="114"/>
      <c r="K93" s="114"/>
      <c r="L93" s="114"/>
      <c r="M93" s="114"/>
      <c r="N93" s="114"/>
      <c r="O93" s="114"/>
      <c r="P93" s="114"/>
      <c r="Q93" s="114"/>
      <c r="R93" s="121" t="s">
        <v>282</v>
      </c>
      <c r="S93" s="114">
        <v>0</v>
      </c>
      <c r="T93" s="114">
        <v>0</v>
      </c>
      <c r="U93" s="114"/>
      <c r="V93" s="114"/>
      <c r="W93" s="121"/>
      <c r="X93" s="114">
        <f>IF(V5=1,(X83*T76),0)</f>
        <v>0</v>
      </c>
      <c r="Y93" s="114">
        <f>IF(V5=1,(Z83*T76),0)</f>
        <v>0</v>
      </c>
      <c r="Z93" s="114" t="s">
        <v>453</v>
      </c>
      <c r="AA93" s="114"/>
    </row>
    <row r="94" spans="7:27">
      <c r="G94" s="114"/>
      <c r="H94" s="114"/>
      <c r="I94" s="114"/>
      <c r="J94" s="114"/>
      <c r="K94" s="114"/>
      <c r="L94" s="114"/>
      <c r="M94" s="114"/>
      <c r="N94" s="114"/>
      <c r="O94" s="114"/>
      <c r="P94" s="114"/>
      <c r="Q94" s="114"/>
      <c r="R94" s="121" t="s">
        <v>281</v>
      </c>
      <c r="S94" s="114">
        <f>IF(V5=1,(X83*T76),0)</f>
        <v>0</v>
      </c>
      <c r="T94" s="114">
        <f>IF(V5=1,(Z83*T76),0)</f>
        <v>0</v>
      </c>
      <c r="U94" s="114"/>
      <c r="V94" s="114"/>
      <c r="W94" s="121"/>
      <c r="X94" s="114"/>
      <c r="Y94" s="114"/>
      <c r="Z94" s="114" t="s">
        <v>451</v>
      </c>
      <c r="AA94" s="114"/>
    </row>
    <row r="95" spans="7:27">
      <c r="J95" s="114"/>
      <c r="K95" s="114"/>
      <c r="L95" s="114"/>
      <c r="P95" s="114"/>
      <c r="Q95" s="114"/>
      <c r="R95" s="121" t="s">
        <v>283</v>
      </c>
      <c r="S95" s="114">
        <f>IF(W5=2,(V88*T76*AB11),0)</f>
        <v>0</v>
      </c>
      <c r="T95" s="114"/>
      <c r="U95" s="114"/>
      <c r="V95" s="114"/>
      <c r="W95" s="121"/>
      <c r="X95" s="114">
        <f>X91-X93+X94</f>
        <v>6.18656E-2</v>
      </c>
      <c r="Y95" s="114">
        <f>Y91-Y93+Y94</f>
        <v>2.2088994140624995E-2</v>
      </c>
      <c r="Z95" s="114" t="s">
        <v>455</v>
      </c>
      <c r="AA95" s="114"/>
    </row>
    <row r="96" spans="7:27">
      <c r="P96" s="114"/>
      <c r="Q96" s="114"/>
      <c r="R96" s="122" t="s">
        <v>483</v>
      </c>
      <c r="S96" s="123">
        <f>S90-S94+S95</f>
        <v>0.18989216000000003</v>
      </c>
      <c r="T96" s="123">
        <f>T92-T94+T95</f>
        <v>1.1062558862304688</v>
      </c>
      <c r="U96" s="114"/>
      <c r="V96" s="114"/>
      <c r="W96" s="122"/>
      <c r="X96" s="114">
        <f>ROUNDUP(X95/(Start!D19-X89),0)</f>
        <v>1</v>
      </c>
      <c r="Y96" s="114">
        <f>((Y89+(Y95/X96))/4)</f>
        <v>0.13703217895507813</v>
      </c>
      <c r="Z96" s="114"/>
      <c r="AA96" s="114"/>
    </row>
    <row r="97" spans="12:27">
      <c r="L97" t="s">
        <v>86</v>
      </c>
      <c r="P97" s="114"/>
      <c r="Q97" s="114"/>
      <c r="R97" s="114" t="s">
        <v>296</v>
      </c>
      <c r="S97" s="114">
        <f>S96/Start!D21</f>
        <v>0.25318954666666671</v>
      </c>
      <c r="T97" s="114">
        <f>T96/Start!F21</f>
        <v>1.4750078483072917</v>
      </c>
      <c r="U97" s="114"/>
      <c r="V97" s="114"/>
      <c r="W97" s="114"/>
      <c r="X97" s="114"/>
      <c r="Y97" s="114" t="str">
        <f>IF(Y96&lt;Start!F19,"yes","no")</f>
        <v>yes</v>
      </c>
      <c r="Z97" s="114"/>
      <c r="AA97" s="114"/>
    </row>
    <row r="98" spans="12:27">
      <c r="P98" s="114"/>
      <c r="Q98" s="114"/>
      <c r="R98" s="114" t="s">
        <v>260</v>
      </c>
      <c r="S98" s="114">
        <f>IF(S97&lt;1,1,IF(S97&gt;1,ROUNDUP(S97,0)))</f>
        <v>1</v>
      </c>
      <c r="T98" s="114">
        <f>IF(T97&lt;1,1,IF(T97&gt;1,ROUNDUP(T97,0)))</f>
        <v>2</v>
      </c>
      <c r="U98" s="114"/>
      <c r="V98" s="114"/>
      <c r="W98" s="114"/>
      <c r="X98" s="121" t="s">
        <v>515</v>
      </c>
      <c r="Y98" s="114">
        <f>IF(Y97="yes",EVEN(((Y89+Y95)/(Start!F19)*4)),"you can't scale up sukka!")</f>
        <v>4</v>
      </c>
      <c r="Z98" s="114"/>
      <c r="AA98" s="114"/>
    </row>
    <row r="99" spans="12:27">
      <c r="P99" s="114"/>
      <c r="Q99" s="114"/>
      <c r="R99" s="114"/>
      <c r="S99" s="114">
        <f>S96/S98</f>
        <v>0.18989216000000003</v>
      </c>
      <c r="T99" s="114">
        <f>IF(T97&lt;1,8,IF(T97&gt;1,EVEN(T97*8)))</f>
        <v>12</v>
      </c>
      <c r="U99" s="114" t="s">
        <v>446</v>
      </c>
      <c r="V99" s="114"/>
      <c r="W99" s="114"/>
      <c r="X99" s="121" t="s">
        <v>516</v>
      </c>
      <c r="Y99" s="114">
        <f>IF(Y97="no",ROUNDUP((Y95/((Start!F19)-Y89)/4),0),X96)</f>
        <v>1</v>
      </c>
      <c r="Z99" s="114"/>
      <c r="AA99" s="114"/>
    </row>
    <row r="100" spans="12:27">
      <c r="P100" s="114"/>
      <c r="Q100" s="114"/>
      <c r="R100" s="114" t="s">
        <v>86</v>
      </c>
      <c r="S100" s="114"/>
      <c r="T100" s="114">
        <f>EVEN(T99/T98)</f>
        <v>6</v>
      </c>
      <c r="U100" s="114" t="s">
        <v>447</v>
      </c>
      <c r="V100" s="114"/>
      <c r="W100" s="114"/>
      <c r="X100" s="121" t="s">
        <v>517</v>
      </c>
      <c r="Y100" s="114">
        <f>EVEN(((Y95/Y99)+Y89)/(Start!F19)*4)</f>
        <v>4</v>
      </c>
      <c r="Z100" s="114"/>
      <c r="AA100" s="114"/>
    </row>
    <row r="101" spans="12:27">
      <c r="P101" s="114"/>
      <c r="Q101" s="114"/>
      <c r="R101" s="114"/>
      <c r="S101" s="114"/>
      <c r="T101" s="114">
        <f>T96/T98</f>
        <v>0.55312794311523439</v>
      </c>
      <c r="U101" s="114" t="s">
        <v>314</v>
      </c>
      <c r="V101" s="114"/>
      <c r="W101" s="114"/>
      <c r="X101" s="121" t="s">
        <v>518</v>
      </c>
      <c r="Y101" s="114"/>
      <c r="Z101" s="114"/>
      <c r="AA101" s="114"/>
    </row>
    <row r="102" spans="12:27">
      <c r="P102" s="114"/>
      <c r="Q102" s="114"/>
      <c r="R102" s="114"/>
      <c r="S102" s="114"/>
      <c r="T102" s="114"/>
      <c r="U102" s="114"/>
      <c r="V102" s="114"/>
      <c r="W102" s="114"/>
      <c r="X102" s="114"/>
      <c r="Y102" s="115" t="s">
        <v>467</v>
      </c>
      <c r="Z102" s="114"/>
      <c r="AA102" s="114"/>
    </row>
    <row r="103" spans="12:27">
      <c r="P103" s="114"/>
      <c r="Q103" s="114" t="str">
        <f>IF(T98&gt;S98,"yes","no")</f>
        <v>yes</v>
      </c>
      <c r="R103" s="114" t="s">
        <v>457</v>
      </c>
      <c r="S103" s="110">
        <f>IF(Q104&gt;S98,Q104,S98)</f>
        <v>1</v>
      </c>
      <c r="T103" s="115" t="s">
        <v>467</v>
      </c>
      <c r="U103" s="114"/>
      <c r="V103" s="114"/>
      <c r="W103" s="114"/>
      <c r="X103" s="110">
        <f>Y99</f>
        <v>1</v>
      </c>
      <c r="Y103" s="120" t="s">
        <v>337</v>
      </c>
      <c r="Z103" s="114"/>
      <c r="AA103" s="114"/>
    </row>
    <row r="104" spans="12:27">
      <c r="P104" s="114"/>
      <c r="Q104" s="114">
        <f>IF(Q103="yes",ROUNDUP(T97/2,0),0)</f>
        <v>1</v>
      </c>
      <c r="R104" s="114" t="s">
        <v>319</v>
      </c>
      <c r="S104" s="120" t="s">
        <v>168</v>
      </c>
      <c r="T104" s="120" t="s">
        <v>337</v>
      </c>
      <c r="U104" s="114"/>
      <c r="V104" s="114"/>
      <c r="W104" s="114"/>
      <c r="X104" s="120" t="s">
        <v>168</v>
      </c>
      <c r="Y104" s="114">
        <f>(Y95+Y89)/X103</f>
        <v>0.54812871582031253</v>
      </c>
      <c r="Z104" s="114" t="s">
        <v>490</v>
      </c>
      <c r="AA104" s="114"/>
    </row>
    <row r="105" spans="12:27">
      <c r="P105" s="114"/>
      <c r="Q105" s="114" t="str">
        <f>IF(Q104&gt;S98,"memory","cpu")</f>
        <v>cpu</v>
      </c>
      <c r="R105" s="114" t="s">
        <v>458</v>
      </c>
      <c r="S105" s="114"/>
      <c r="T105" s="114">
        <f>IF(Q105="cpu",(T96/Q104),IF(Q105="memory",(T96/Q107),"error"))</f>
        <v>1.1062558862304688</v>
      </c>
      <c r="U105" s="114" t="s">
        <v>490</v>
      </c>
      <c r="V105" s="114"/>
      <c r="W105" s="114"/>
      <c r="X105" s="114"/>
      <c r="Y105" s="114">
        <f>Y104/Start!F19</f>
        <v>0.7308382877604167</v>
      </c>
      <c r="Z105" s="114" t="s">
        <v>322</v>
      </c>
      <c r="AA105" s="114"/>
    </row>
    <row r="106" spans="12:27">
      <c r="P106" s="114"/>
      <c r="Q106" s="114" t="str">
        <f>IF((T96/2)&lt;Start!F21,"yes","no")</f>
        <v>yes</v>
      </c>
      <c r="R106" s="114" t="s">
        <v>498</v>
      </c>
      <c r="S106" s="114"/>
      <c r="T106" s="114">
        <f>T105/Start!F21</f>
        <v>1.4750078483072917</v>
      </c>
      <c r="U106" s="114" t="s">
        <v>500</v>
      </c>
      <c r="V106" s="114"/>
      <c r="W106" s="114"/>
      <c r="X106" s="114"/>
      <c r="Y106" s="114">
        <f>(Y95)/(Start!F19-Y89)</f>
        <v>9.8629070772241451E-2</v>
      </c>
      <c r="Z106" s="114" t="s">
        <v>491</v>
      </c>
      <c r="AA106" s="114"/>
    </row>
    <row r="107" spans="12:27">
      <c r="P107" s="114"/>
      <c r="Q107" s="114">
        <f>IF(Q106="no",(ROUNDUP((T97/2),0)),0)</f>
        <v>0</v>
      </c>
      <c r="R107" s="114" t="s">
        <v>499</v>
      </c>
      <c r="S107" s="114"/>
      <c r="T107" s="114"/>
      <c r="U107" s="114"/>
      <c r="V107" s="114"/>
      <c r="W107" s="114"/>
      <c r="X107" s="114"/>
      <c r="Y107" s="110">
        <f>Y100</f>
        <v>4</v>
      </c>
      <c r="Z107" s="114" t="s">
        <v>324</v>
      </c>
      <c r="AA107" s="114"/>
    </row>
    <row r="108" spans="12:27">
      <c r="P108" s="114"/>
      <c r="Q108" s="114"/>
      <c r="R108" s="114"/>
      <c r="S108" s="114"/>
      <c r="T108" s="110">
        <f>IF(T97&lt;1,8,IF(T97&gt;1,EVEN(T106*8),0))</f>
        <v>12</v>
      </c>
      <c r="U108" s="114" t="s">
        <v>324</v>
      </c>
      <c r="V108" s="114"/>
      <c r="W108" s="114"/>
      <c r="X108" s="114"/>
      <c r="Y108" s="110">
        <f>(Y89+Y95/X103)/(Y107/4)</f>
        <v>0.54812871582031253</v>
      </c>
      <c r="Z108" s="114" t="s">
        <v>461</v>
      </c>
      <c r="AA108" s="114"/>
    </row>
    <row r="109" spans="12:27">
      <c r="P109" s="114"/>
      <c r="Q109" s="114"/>
      <c r="R109" s="114"/>
      <c r="S109" s="114"/>
      <c r="T109" s="110">
        <f>(T96/S103)/(T108/8)</f>
        <v>0.73750392415364585</v>
      </c>
      <c r="U109" s="114" t="s">
        <v>461</v>
      </c>
      <c r="V109" s="114"/>
      <c r="W109" s="114"/>
      <c r="X109" s="114"/>
      <c r="Y109" s="114"/>
      <c r="Z109" s="114" t="s">
        <v>462</v>
      </c>
      <c r="AA109" s="114"/>
    </row>
    <row r="110" spans="12:27">
      <c r="P110" s="114"/>
      <c r="Q110" s="114"/>
      <c r="R110" s="114"/>
      <c r="S110" s="110">
        <f>S88+S96/S103</f>
        <v>0.38986696000000004</v>
      </c>
      <c r="T110" s="114"/>
      <c r="U110" s="114" t="s">
        <v>462</v>
      </c>
      <c r="V110" s="114"/>
      <c r="W110" s="114"/>
      <c r="X110" s="110">
        <f>X89+X95/X103</f>
        <v>6.7551600000000003E-2</v>
      </c>
      <c r="Y110" s="114"/>
      <c r="Z110" s="114"/>
      <c r="AA110" s="114"/>
    </row>
    <row r="111" spans="12:27">
      <c r="P111" s="114"/>
      <c r="Q111" s="114"/>
      <c r="R111" s="114"/>
      <c r="S111" s="114"/>
      <c r="T111" s="114"/>
      <c r="U111" s="114"/>
      <c r="V111" s="114"/>
      <c r="W111" s="114"/>
      <c r="X111" s="114"/>
      <c r="Y111" s="114"/>
      <c r="Z111" s="114"/>
      <c r="AA111" s="114"/>
    </row>
    <row r="112" spans="12:27">
      <c r="P112" s="114"/>
      <c r="Q112" s="114"/>
      <c r="R112" s="114"/>
      <c r="S112" s="114"/>
      <c r="T112" s="114"/>
      <c r="U112" s="114"/>
      <c r="V112" s="114"/>
      <c r="W112" s="114"/>
      <c r="X112" s="114"/>
      <c r="Y112" s="114"/>
      <c r="Z112" s="114"/>
      <c r="AA112" s="114"/>
    </row>
    <row r="113" spans="16:27">
      <c r="P113" s="114"/>
      <c r="Q113" s="114"/>
      <c r="R113" s="114"/>
      <c r="S113" s="114"/>
      <c r="T113" s="114"/>
      <c r="U113" s="114"/>
      <c r="V113" s="114"/>
      <c r="W113" s="114"/>
      <c r="X113" s="114"/>
      <c r="Y113" s="114"/>
      <c r="Z113" s="114"/>
      <c r="AA113" s="114"/>
    </row>
  </sheetData>
  <mergeCells count="7">
    <mergeCell ref="AI4:AL4"/>
    <mergeCell ref="AH1:AL3"/>
    <mergeCell ref="AC1:AG4"/>
    <mergeCell ref="Z1:AB4"/>
    <mergeCell ref="A1:F1"/>
    <mergeCell ref="G1:P1"/>
    <mergeCell ref="Q1:Y1"/>
  </mergeCells>
  <pageMargins left="0.7" right="0.7" top="0.75" bottom="0.75" header="0.3" footer="0.3"/>
  <pageSetup orientation="portrait" horizontalDpi="300" r:id="rId1"/>
  <drawing r:id="rId2"/>
  <legacyDrawing r:id="rId3"/>
</worksheet>
</file>

<file path=xl/worksheets/sheet15.xml><?xml version="1.0" encoding="utf-8"?>
<worksheet xmlns="http://schemas.openxmlformats.org/spreadsheetml/2006/main" xmlns:r="http://schemas.openxmlformats.org/officeDocument/2006/relationships">
  <sheetPr codeName="Sheet12"/>
  <dimension ref="A1:R40"/>
  <sheetViews>
    <sheetView workbookViewId="0">
      <selection activeCell="P12" sqref="P12"/>
    </sheetView>
  </sheetViews>
  <sheetFormatPr defaultRowHeight="15"/>
  <sheetData>
    <row r="1" spans="1:17" ht="15" customHeight="1">
      <c r="B1" s="178" t="s">
        <v>25</v>
      </c>
      <c r="C1" s="172" t="s">
        <v>26</v>
      </c>
      <c r="D1" s="179"/>
      <c r="E1" s="179"/>
      <c r="F1" s="179"/>
      <c r="G1" s="182" t="s">
        <v>27</v>
      </c>
      <c r="H1" s="182"/>
      <c r="I1" s="182" t="s">
        <v>28</v>
      </c>
      <c r="J1" s="182"/>
      <c r="K1" s="172"/>
      <c r="L1" s="173"/>
      <c r="M1" s="173"/>
      <c r="N1" s="173"/>
      <c r="O1" s="173"/>
      <c r="P1" s="173"/>
      <c r="Q1" s="174"/>
    </row>
    <row r="2" spans="1:17">
      <c r="B2" s="178"/>
      <c r="C2" s="180"/>
      <c r="D2" s="181"/>
      <c r="E2" s="181"/>
      <c r="F2" s="181"/>
      <c r="G2" s="87" t="s">
        <v>29</v>
      </c>
      <c r="H2" s="87" t="s">
        <v>30</v>
      </c>
      <c r="I2" s="183" t="s">
        <v>31</v>
      </c>
      <c r="J2" s="183"/>
      <c r="K2" s="175" t="s">
        <v>205</v>
      </c>
      <c r="L2" s="176"/>
      <c r="M2" s="176"/>
      <c r="N2" s="176"/>
      <c r="O2" s="176"/>
      <c r="P2" s="176"/>
      <c r="Q2" s="177"/>
    </row>
    <row r="3" spans="1:17" ht="60">
      <c r="A3" t="s">
        <v>182</v>
      </c>
      <c r="B3" s="178"/>
      <c r="C3" s="72" t="s">
        <v>11</v>
      </c>
      <c r="D3" s="73" t="s">
        <v>12</v>
      </c>
      <c r="E3" s="73" t="s">
        <v>13</v>
      </c>
      <c r="F3" s="73" t="s">
        <v>1</v>
      </c>
      <c r="G3" s="73" t="s">
        <v>14</v>
      </c>
      <c r="H3" s="73" t="s">
        <v>14</v>
      </c>
      <c r="I3" s="73" t="s">
        <v>32</v>
      </c>
      <c r="J3" s="73" t="s">
        <v>33</v>
      </c>
      <c r="K3" s="73" t="s">
        <v>34</v>
      </c>
      <c r="L3" s="73" t="s">
        <v>206</v>
      </c>
      <c r="M3" s="73" t="s">
        <v>207</v>
      </c>
      <c r="N3" s="73" t="s">
        <v>298</v>
      </c>
      <c r="O3" s="73" t="s">
        <v>3</v>
      </c>
      <c r="P3" s="73" t="s">
        <v>4</v>
      </c>
      <c r="Q3" s="73" t="s">
        <v>5</v>
      </c>
    </row>
    <row r="4" spans="1:17">
      <c r="A4" s="74" t="s">
        <v>183</v>
      </c>
      <c r="B4" t="s">
        <v>87</v>
      </c>
      <c r="C4" s="14" t="s">
        <v>35</v>
      </c>
      <c r="D4" s="12" t="s">
        <v>35</v>
      </c>
      <c r="E4" s="12" t="s">
        <v>35</v>
      </c>
      <c r="F4" s="12" t="s">
        <v>35</v>
      </c>
      <c r="G4" s="12">
        <v>0</v>
      </c>
      <c r="H4" s="12">
        <v>0</v>
      </c>
      <c r="I4" s="12" t="s">
        <v>36</v>
      </c>
      <c r="J4" s="12" t="s">
        <v>36</v>
      </c>
      <c r="K4">
        <v>0.42400120253164553</v>
      </c>
      <c r="L4">
        <v>1.5625</v>
      </c>
      <c r="M4">
        <v>3016.4794952681386</v>
      </c>
      <c r="N4">
        <f>(4096-M4)/4096</f>
        <v>0.26355481072555209</v>
      </c>
    </row>
    <row r="5" spans="1:17">
      <c r="A5" s="74" t="s">
        <v>183</v>
      </c>
      <c r="B5" t="s">
        <v>93</v>
      </c>
      <c r="C5" s="14"/>
      <c r="D5" s="12"/>
      <c r="E5" s="12"/>
      <c r="F5" s="12"/>
      <c r="G5" s="12">
        <v>1.06</v>
      </c>
      <c r="H5" s="12"/>
      <c r="I5" s="12"/>
      <c r="J5" s="12"/>
      <c r="K5">
        <v>0.60066598360655676</v>
      </c>
      <c r="L5">
        <v>28.90625</v>
      </c>
      <c r="M5">
        <v>2858.2899262899264</v>
      </c>
      <c r="N5">
        <f t="shared" ref="N5:N33" si="0">(4096-M5)/4096</f>
        <v>0.30217531096437344</v>
      </c>
    </row>
    <row r="6" spans="1:17">
      <c r="A6" s="74" t="s">
        <v>183</v>
      </c>
      <c r="B6" t="s">
        <v>184</v>
      </c>
      <c r="C6" s="14"/>
      <c r="D6" s="12"/>
      <c r="E6" s="12"/>
      <c r="F6" s="12"/>
      <c r="G6" s="12">
        <v>2.65</v>
      </c>
      <c r="H6" s="12"/>
      <c r="I6" s="12"/>
      <c r="J6" s="12"/>
      <c r="K6">
        <v>1.3404841529841527</v>
      </c>
      <c r="L6">
        <v>21.484380000000002</v>
      </c>
      <c r="M6">
        <v>2846.7755937755937</v>
      </c>
      <c r="N6">
        <f t="shared" si="0"/>
        <v>0.30498642730088044</v>
      </c>
    </row>
    <row r="7" spans="1:17">
      <c r="A7" t="s">
        <v>86</v>
      </c>
      <c r="B7" t="s">
        <v>185</v>
      </c>
      <c r="C7" s="14"/>
      <c r="D7" s="12"/>
      <c r="E7" s="12"/>
      <c r="F7" s="12"/>
      <c r="G7" s="75" t="s">
        <v>37</v>
      </c>
      <c r="H7" s="12"/>
      <c r="I7" s="12"/>
      <c r="J7" s="12"/>
      <c r="K7">
        <v>15.895309136388066</v>
      </c>
      <c r="L7">
        <v>44.921879999999902</v>
      </c>
      <c r="M7">
        <v>1254.1277641277641</v>
      </c>
      <c r="N7">
        <f t="shared" si="0"/>
        <v>0.69381646383599516</v>
      </c>
    </row>
    <row r="8" spans="1:17">
      <c r="A8" s="74" t="s">
        <v>183</v>
      </c>
      <c r="B8" t="s">
        <v>88</v>
      </c>
      <c r="C8">
        <v>5</v>
      </c>
      <c r="D8" t="s">
        <v>23</v>
      </c>
      <c r="E8" t="s">
        <v>23</v>
      </c>
      <c r="F8" t="s">
        <v>2</v>
      </c>
      <c r="G8">
        <v>0</v>
      </c>
      <c r="H8">
        <v>0</v>
      </c>
      <c r="I8" s="12" t="s">
        <v>36</v>
      </c>
      <c r="J8" s="12" t="s">
        <v>36</v>
      </c>
      <c r="K8">
        <v>0.44662602062481033</v>
      </c>
      <c r="L8">
        <v>10.9375</v>
      </c>
      <c r="M8">
        <v>2985.1111111111113</v>
      </c>
      <c r="N8">
        <f t="shared" si="0"/>
        <v>0.27121310763888884</v>
      </c>
    </row>
    <row r="9" spans="1:17">
      <c r="A9" s="74" t="s">
        <v>183</v>
      </c>
      <c r="B9" t="s">
        <v>94</v>
      </c>
      <c r="G9" s="12">
        <v>1.06</v>
      </c>
      <c r="I9" s="12"/>
      <c r="J9" s="12"/>
      <c r="K9">
        <v>4.8837730573770477</v>
      </c>
      <c r="L9">
        <v>59.375</v>
      </c>
      <c r="M9">
        <v>1926.1638001638003</v>
      </c>
      <c r="N9">
        <f t="shared" si="0"/>
        <v>0.5297451659756347</v>
      </c>
    </row>
    <row r="10" spans="1:17">
      <c r="A10" s="74" t="s">
        <v>183</v>
      </c>
      <c r="B10" t="s">
        <v>186</v>
      </c>
      <c r="G10" s="12">
        <v>2.65</v>
      </c>
      <c r="I10" s="12"/>
      <c r="J10" s="12"/>
      <c r="K10">
        <v>10.124313639873639</v>
      </c>
      <c r="L10">
        <v>66.015629999999902</v>
      </c>
      <c r="M10">
        <v>1955.9279279279278</v>
      </c>
      <c r="N10">
        <f t="shared" si="0"/>
        <v>0.52247853322072069</v>
      </c>
    </row>
    <row r="11" spans="1:17">
      <c r="B11" t="s">
        <v>187</v>
      </c>
      <c r="G11" s="65" t="s">
        <v>37</v>
      </c>
      <c r="I11" s="12"/>
      <c r="J11" s="12"/>
      <c r="K11">
        <v>87.858686703329013</v>
      </c>
      <c r="L11">
        <v>100</v>
      </c>
      <c r="M11">
        <v>413.04176904176904</v>
      </c>
      <c r="N11">
        <f t="shared" si="0"/>
        <v>0.89915972435503688</v>
      </c>
    </row>
    <row r="12" spans="1:17">
      <c r="A12" s="74" t="s">
        <v>183</v>
      </c>
      <c r="B12" t="s">
        <v>91</v>
      </c>
      <c r="C12">
        <v>3</v>
      </c>
      <c r="D12" t="s">
        <v>23</v>
      </c>
      <c r="E12" t="s">
        <v>23</v>
      </c>
      <c r="F12" t="s">
        <v>2</v>
      </c>
      <c r="G12">
        <v>0</v>
      </c>
      <c r="H12">
        <v>0</v>
      </c>
      <c r="I12" s="12" t="s">
        <v>36</v>
      </c>
      <c r="J12" s="12" t="s">
        <v>36</v>
      </c>
      <c r="K12">
        <v>0.40918696353224826</v>
      </c>
      <c r="L12">
        <v>1.17188</v>
      </c>
      <c r="M12">
        <v>2941.5899053627759</v>
      </c>
      <c r="N12">
        <f t="shared" si="0"/>
        <v>0.28183840201104104</v>
      </c>
    </row>
    <row r="13" spans="1:17">
      <c r="A13" s="74" t="s">
        <v>183</v>
      </c>
      <c r="B13" t="s">
        <v>103</v>
      </c>
      <c r="G13">
        <v>1.06</v>
      </c>
      <c r="I13" s="12"/>
      <c r="J13" s="12"/>
      <c r="K13">
        <v>1.9470516645849594</v>
      </c>
      <c r="L13">
        <v>37.5</v>
      </c>
      <c r="M13">
        <v>2376.972153972154</v>
      </c>
      <c r="N13">
        <f t="shared" si="0"/>
        <v>0.41968453272164208</v>
      </c>
    </row>
    <row r="14" spans="1:17">
      <c r="A14" s="74" t="s">
        <v>183</v>
      </c>
      <c r="B14" t="s">
        <v>188</v>
      </c>
      <c r="G14">
        <v>2.65</v>
      </c>
      <c r="I14" s="12"/>
      <c r="J14" s="12"/>
      <c r="K14">
        <v>5.2455613528168366</v>
      </c>
      <c r="L14">
        <v>49.21875</v>
      </c>
      <c r="M14">
        <v>2361.6724565756822</v>
      </c>
      <c r="N14">
        <f t="shared" si="0"/>
        <v>0.42341981040632759</v>
      </c>
    </row>
    <row r="15" spans="1:17">
      <c r="B15" t="s">
        <v>189</v>
      </c>
      <c r="G15" s="65" t="s">
        <v>37</v>
      </c>
      <c r="I15" s="12"/>
      <c r="J15" s="12"/>
      <c r="K15">
        <v>99.397622862536949</v>
      </c>
      <c r="L15">
        <v>100</v>
      </c>
      <c r="M15">
        <v>302.21130221130221</v>
      </c>
      <c r="N15">
        <f t="shared" si="0"/>
        <v>0.92621794379606881</v>
      </c>
    </row>
    <row r="16" spans="1:17">
      <c r="A16" s="74" t="s">
        <v>183</v>
      </c>
      <c r="B16" t="s">
        <v>92</v>
      </c>
      <c r="C16">
        <v>1</v>
      </c>
      <c r="D16" t="s">
        <v>23</v>
      </c>
      <c r="E16" t="s">
        <v>23</v>
      </c>
      <c r="F16" t="s">
        <v>2</v>
      </c>
      <c r="G16">
        <v>0</v>
      </c>
      <c r="H16">
        <v>0</v>
      </c>
      <c r="I16" s="12" t="s">
        <v>36</v>
      </c>
      <c r="J16" s="12" t="s">
        <v>36</v>
      </c>
      <c r="K16">
        <v>0.44540175411990685</v>
      </c>
      <c r="L16">
        <v>7.03125</v>
      </c>
      <c r="M16">
        <v>2940.0253968253969</v>
      </c>
      <c r="N16">
        <f t="shared" si="0"/>
        <v>0.28222036210317458</v>
      </c>
    </row>
    <row r="17" spans="1:18">
      <c r="A17" s="74" t="s">
        <v>183</v>
      </c>
      <c r="B17" t="s">
        <v>104</v>
      </c>
      <c r="G17">
        <v>1.06</v>
      </c>
      <c r="I17" s="12"/>
      <c r="J17" s="12"/>
      <c r="K17">
        <v>0.56802241894353356</v>
      </c>
      <c r="L17">
        <v>21.875</v>
      </c>
      <c r="M17">
        <v>2595.6085176085176</v>
      </c>
      <c r="N17">
        <f t="shared" si="0"/>
        <v>0.36630651425573302</v>
      </c>
      <c r="R17" t="s">
        <v>86</v>
      </c>
    </row>
    <row r="18" spans="1:18">
      <c r="A18" s="74" t="s">
        <v>183</v>
      </c>
      <c r="B18" t="s">
        <v>190</v>
      </c>
      <c r="G18">
        <v>2.65</v>
      </c>
      <c r="I18" s="12"/>
      <c r="J18" s="12"/>
      <c r="K18">
        <v>4.8446552230217703</v>
      </c>
      <c r="L18">
        <v>63.671879999999902</v>
      </c>
      <c r="M18">
        <v>2571.0404624277458</v>
      </c>
      <c r="N18">
        <f t="shared" si="0"/>
        <v>0.37230457460260113</v>
      </c>
    </row>
    <row r="19" spans="1:18">
      <c r="B19" t="s">
        <v>191</v>
      </c>
      <c r="G19" s="65" t="s">
        <v>37</v>
      </c>
      <c r="I19" s="12"/>
      <c r="J19" s="12"/>
      <c r="K19">
        <v>99.156343588272392</v>
      </c>
      <c r="L19">
        <v>100</v>
      </c>
      <c r="M19">
        <v>386.56674856674857</v>
      </c>
      <c r="N19">
        <f t="shared" si="0"/>
        <v>0.90562335240069614</v>
      </c>
    </row>
    <row r="20" spans="1:18">
      <c r="A20" s="74" t="s">
        <v>183</v>
      </c>
      <c r="B20" t="s">
        <v>89</v>
      </c>
      <c r="C20">
        <v>5</v>
      </c>
      <c r="D20" t="s">
        <v>2</v>
      </c>
      <c r="E20" t="s">
        <v>23</v>
      </c>
      <c r="F20" t="s">
        <v>2</v>
      </c>
      <c r="G20">
        <v>0</v>
      </c>
      <c r="H20">
        <v>0</v>
      </c>
      <c r="I20" s="12" t="s">
        <v>36</v>
      </c>
      <c r="J20" s="12" t="s">
        <v>36</v>
      </c>
      <c r="K20">
        <v>0.43804910543130976</v>
      </c>
      <c r="L20">
        <v>7.03125</v>
      </c>
      <c r="M20">
        <v>2985.7038216560509</v>
      </c>
      <c r="N20">
        <f t="shared" si="0"/>
        <v>0.2710684029160032</v>
      </c>
    </row>
    <row r="21" spans="1:18">
      <c r="A21" s="74" t="s">
        <v>183</v>
      </c>
      <c r="B21" t="s">
        <v>95</v>
      </c>
      <c r="G21">
        <v>1.06</v>
      </c>
      <c r="I21" s="12"/>
      <c r="J21" s="12"/>
      <c r="K21">
        <v>5.2471725252206793</v>
      </c>
      <c r="L21">
        <v>33.59375</v>
      </c>
      <c r="M21">
        <v>1989.1695331695332</v>
      </c>
      <c r="N21">
        <f t="shared" si="0"/>
        <v>0.51436290694103193</v>
      </c>
    </row>
    <row r="22" spans="1:18">
      <c r="A22" s="74" t="s">
        <v>183</v>
      </c>
      <c r="B22" t="s">
        <v>90</v>
      </c>
      <c r="C22">
        <v>1</v>
      </c>
      <c r="D22" t="s">
        <v>2</v>
      </c>
      <c r="E22" t="s">
        <v>23</v>
      </c>
      <c r="F22" t="s">
        <v>2</v>
      </c>
      <c r="G22">
        <v>0</v>
      </c>
      <c r="H22">
        <v>0</v>
      </c>
      <c r="I22" s="12" t="s">
        <v>36</v>
      </c>
      <c r="J22" s="12" t="s">
        <v>36</v>
      </c>
      <c r="K22">
        <v>0.684829905063291</v>
      </c>
      <c r="L22">
        <v>25.78125</v>
      </c>
      <c r="M22">
        <v>2997.2649842271294</v>
      </c>
      <c r="N22">
        <f t="shared" si="0"/>
        <v>0.26824585346017349</v>
      </c>
    </row>
    <row r="23" spans="1:18">
      <c r="A23" s="74" t="s">
        <v>183</v>
      </c>
      <c r="B23" t="s">
        <v>96</v>
      </c>
      <c r="G23">
        <v>1.06</v>
      </c>
      <c r="I23" s="12"/>
      <c r="J23" s="12"/>
      <c r="K23">
        <v>1.7923924180327861</v>
      </c>
      <c r="L23">
        <v>43.75</v>
      </c>
      <c r="M23">
        <v>2574.5520065520063</v>
      </c>
      <c r="N23">
        <f t="shared" si="0"/>
        <v>0.37144726402538908</v>
      </c>
    </row>
    <row r="24" spans="1:18">
      <c r="A24" s="74" t="s">
        <v>183</v>
      </c>
      <c r="B24" t="s">
        <v>97</v>
      </c>
      <c r="C24">
        <v>5</v>
      </c>
      <c r="D24" t="s">
        <v>23</v>
      </c>
      <c r="E24" t="s">
        <v>22</v>
      </c>
      <c r="F24" t="s">
        <v>2</v>
      </c>
      <c r="G24">
        <v>0</v>
      </c>
      <c r="H24">
        <v>0</v>
      </c>
      <c r="I24" s="12" t="s">
        <v>36</v>
      </c>
      <c r="J24" s="12" t="s">
        <v>36</v>
      </c>
      <c r="K24">
        <v>0.684829905063291</v>
      </c>
      <c r="L24">
        <v>25.78125</v>
      </c>
      <c r="M24">
        <v>2997.2649842271294</v>
      </c>
      <c r="N24">
        <f t="shared" si="0"/>
        <v>0.26824585346017349</v>
      </c>
    </row>
    <row r="25" spans="1:18">
      <c r="A25" s="74" t="s">
        <v>183</v>
      </c>
      <c r="B25" t="s">
        <v>192</v>
      </c>
      <c r="G25">
        <v>1.06</v>
      </c>
      <c r="I25" s="12"/>
      <c r="J25" s="12"/>
      <c r="K25">
        <v>1.6886125935336331</v>
      </c>
      <c r="L25">
        <v>42.578130000000002</v>
      </c>
      <c r="M25">
        <v>2576.4752475247524</v>
      </c>
      <c r="N25">
        <f t="shared" si="0"/>
        <v>0.37097772277227725</v>
      </c>
    </row>
    <row r="26" spans="1:18">
      <c r="A26" s="74" t="s">
        <v>183</v>
      </c>
      <c r="B26" t="s">
        <v>105</v>
      </c>
      <c r="C26">
        <v>1</v>
      </c>
      <c r="D26" t="s">
        <v>23</v>
      </c>
      <c r="E26" t="s">
        <v>2</v>
      </c>
      <c r="F26" t="s">
        <v>2</v>
      </c>
      <c r="G26">
        <v>0</v>
      </c>
      <c r="H26">
        <v>0</v>
      </c>
      <c r="I26" s="12" t="s">
        <v>36</v>
      </c>
      <c r="J26" s="12" t="s">
        <v>36</v>
      </c>
      <c r="K26">
        <v>0.57728443037974653</v>
      </c>
      <c r="L26">
        <v>10.9375</v>
      </c>
      <c r="M26">
        <v>2933.2744479495268</v>
      </c>
      <c r="N26">
        <f t="shared" si="0"/>
        <v>0.28386854298107256</v>
      </c>
    </row>
    <row r="27" spans="1:18">
      <c r="A27" s="74" t="s">
        <v>183</v>
      </c>
      <c r="B27" t="s">
        <v>193</v>
      </c>
      <c r="G27">
        <v>1.06</v>
      </c>
      <c r="I27" s="12"/>
      <c r="J27" s="12"/>
      <c r="K27">
        <v>2.2851884266886313</v>
      </c>
      <c r="L27">
        <v>39.84375</v>
      </c>
      <c r="M27">
        <v>2577.7135802469138</v>
      </c>
      <c r="N27">
        <f t="shared" si="0"/>
        <v>0.37067539544753081</v>
      </c>
    </row>
    <row r="28" spans="1:18">
      <c r="A28" s="74" t="s">
        <v>183</v>
      </c>
      <c r="B28" t="s">
        <v>194</v>
      </c>
      <c r="C28">
        <v>5</v>
      </c>
      <c r="D28" t="s">
        <v>23</v>
      </c>
      <c r="E28" t="s">
        <v>23</v>
      </c>
      <c r="F28" t="s">
        <v>23</v>
      </c>
      <c r="G28" s="65">
        <v>0</v>
      </c>
      <c r="H28">
        <v>0</v>
      </c>
      <c r="I28" s="12" t="s">
        <v>36</v>
      </c>
      <c r="J28" s="12" t="s">
        <v>36</v>
      </c>
      <c r="K28">
        <v>0.42674134010716797</v>
      </c>
      <c r="L28">
        <v>1.5625</v>
      </c>
      <c r="M28">
        <v>2972.3111111111111</v>
      </c>
      <c r="N28">
        <f t="shared" si="0"/>
        <v>0.27433810763888888</v>
      </c>
    </row>
    <row r="29" spans="1:18">
      <c r="A29" s="74" t="s">
        <v>183</v>
      </c>
      <c r="B29" t="s">
        <v>194</v>
      </c>
      <c r="G29" s="65">
        <v>2.2799999999999998</v>
      </c>
      <c r="H29" s="65">
        <v>8.33</v>
      </c>
      <c r="I29" s="12"/>
      <c r="J29" s="12"/>
      <c r="K29">
        <v>1.2095838448844873</v>
      </c>
      <c r="L29">
        <v>33.59375</v>
      </c>
      <c r="M29">
        <v>1888.3066776586975</v>
      </c>
      <c r="N29">
        <f t="shared" si="0"/>
        <v>0.53898762752473206</v>
      </c>
    </row>
    <row r="30" spans="1:18">
      <c r="A30" s="74" t="s">
        <v>183</v>
      </c>
      <c r="B30" t="s">
        <v>106</v>
      </c>
      <c r="C30">
        <v>5</v>
      </c>
      <c r="D30" t="s">
        <v>23</v>
      </c>
      <c r="E30" t="s">
        <v>2</v>
      </c>
      <c r="F30" t="s">
        <v>23</v>
      </c>
      <c r="G30" s="65">
        <v>2.2799999999999998</v>
      </c>
      <c r="H30" s="65">
        <v>8.33</v>
      </c>
      <c r="I30" s="12" t="s">
        <v>36</v>
      </c>
      <c r="J30" s="12" t="s">
        <v>36</v>
      </c>
      <c r="K30">
        <v>0.50929588607594856</v>
      </c>
      <c r="L30">
        <v>8.59375</v>
      </c>
      <c r="M30">
        <v>1677.9179810725552</v>
      </c>
      <c r="N30">
        <f t="shared" si="0"/>
        <v>0.59035205540220814</v>
      </c>
    </row>
    <row r="31" spans="1:18">
      <c r="A31" s="74" t="s">
        <v>183</v>
      </c>
      <c r="B31" t="s">
        <v>99</v>
      </c>
      <c r="C31">
        <v>1</v>
      </c>
      <c r="D31" t="s">
        <v>23</v>
      </c>
      <c r="E31" t="s">
        <v>23</v>
      </c>
      <c r="F31" t="s">
        <v>23</v>
      </c>
      <c r="G31">
        <v>0</v>
      </c>
      <c r="H31" s="65">
        <v>0</v>
      </c>
      <c r="I31" s="12" t="s">
        <v>36</v>
      </c>
      <c r="J31" s="12" t="s">
        <v>36</v>
      </c>
      <c r="K31">
        <v>9.8892405063291028E-2</v>
      </c>
      <c r="L31">
        <v>6.25</v>
      </c>
      <c r="M31">
        <v>2473.4258675078863</v>
      </c>
      <c r="N31">
        <f t="shared" si="0"/>
        <v>0.39613626281545744</v>
      </c>
    </row>
    <row r="32" spans="1:18">
      <c r="A32" s="74" t="s">
        <v>183</v>
      </c>
      <c r="B32" t="s">
        <v>195</v>
      </c>
      <c r="G32">
        <v>2.2799999999999998</v>
      </c>
      <c r="H32" s="65">
        <v>8.33</v>
      </c>
      <c r="I32" s="12"/>
      <c r="J32" s="12"/>
      <c r="K32">
        <v>0.67448405778403286</v>
      </c>
      <c r="L32">
        <v>35.546869999999899</v>
      </c>
      <c r="M32">
        <v>2473.9294503691549</v>
      </c>
      <c r="N32">
        <f t="shared" si="0"/>
        <v>0.39601331778096804</v>
      </c>
    </row>
    <row r="33" spans="1:14">
      <c r="A33" s="74" t="s">
        <v>183</v>
      </c>
      <c r="B33" t="s">
        <v>100</v>
      </c>
      <c r="C33">
        <v>1</v>
      </c>
      <c r="D33" t="s">
        <v>23</v>
      </c>
      <c r="E33" t="s">
        <v>2</v>
      </c>
      <c r="F33" t="s">
        <v>23</v>
      </c>
      <c r="G33" s="65">
        <v>2.2799999999999998</v>
      </c>
      <c r="H33" s="65">
        <v>8.33</v>
      </c>
      <c r="I33" s="12" t="s">
        <v>36</v>
      </c>
      <c r="J33" s="12" t="s">
        <v>36</v>
      </c>
      <c r="K33">
        <v>0.94195015822784733</v>
      </c>
      <c r="L33">
        <v>27.734380000000002</v>
      </c>
      <c r="M33">
        <v>2424.0504731861197</v>
      </c>
      <c r="N33">
        <f t="shared" si="0"/>
        <v>0.408190802444795</v>
      </c>
    </row>
    <row r="34" spans="1:14">
      <c r="I34" s="12"/>
      <c r="J34" s="12"/>
    </row>
    <row r="35" spans="1:14">
      <c r="B35" t="s">
        <v>196</v>
      </c>
      <c r="I35" s="12"/>
      <c r="J35" s="12"/>
    </row>
    <row r="36" spans="1:14">
      <c r="A36" t="s">
        <v>86</v>
      </c>
      <c r="I36" s="12"/>
      <c r="J36" s="12"/>
    </row>
    <row r="37" spans="1:14">
      <c r="C37" t="s">
        <v>197</v>
      </c>
      <c r="D37" t="s">
        <v>198</v>
      </c>
      <c r="E37" t="s">
        <v>199</v>
      </c>
      <c r="F37" t="s">
        <v>200</v>
      </c>
      <c r="G37" t="s">
        <v>88</v>
      </c>
      <c r="H37" t="s">
        <v>201</v>
      </c>
      <c r="I37" s="12" t="s">
        <v>42</v>
      </c>
      <c r="J37" s="12"/>
    </row>
    <row r="38" spans="1:14">
      <c r="C38" t="s">
        <v>202</v>
      </c>
      <c r="D38" t="s">
        <v>198</v>
      </c>
      <c r="E38" t="s">
        <v>199</v>
      </c>
      <c r="F38" t="s">
        <v>200</v>
      </c>
      <c r="G38" t="s">
        <v>91</v>
      </c>
      <c r="H38" t="s">
        <v>201</v>
      </c>
      <c r="I38" s="12" t="s">
        <v>42</v>
      </c>
      <c r="J38" s="12"/>
    </row>
    <row r="39" spans="1:14">
      <c r="C39" t="s">
        <v>203</v>
      </c>
      <c r="D39" t="s">
        <v>198</v>
      </c>
      <c r="E39" t="s">
        <v>199</v>
      </c>
      <c r="F39" t="s">
        <v>200</v>
      </c>
      <c r="G39" t="s">
        <v>92</v>
      </c>
      <c r="H39" t="s">
        <v>201</v>
      </c>
      <c r="I39" s="12" t="s">
        <v>42</v>
      </c>
      <c r="J39" s="12"/>
    </row>
    <row r="40" spans="1:14">
      <c r="C40" t="s">
        <v>204</v>
      </c>
      <c r="D40" t="s">
        <v>198</v>
      </c>
      <c r="E40" t="s">
        <v>199</v>
      </c>
      <c r="F40" t="s">
        <v>200</v>
      </c>
      <c r="G40" t="s">
        <v>87</v>
      </c>
      <c r="H40" t="s">
        <v>201</v>
      </c>
      <c r="I40" s="12" t="s">
        <v>42</v>
      </c>
      <c r="J40" s="12"/>
    </row>
  </sheetData>
  <mergeCells count="7">
    <mergeCell ref="K1:Q1"/>
    <mergeCell ref="K2:Q2"/>
    <mergeCell ref="B1:B3"/>
    <mergeCell ref="C1:F2"/>
    <mergeCell ref="G1:H1"/>
    <mergeCell ref="I1:J1"/>
    <mergeCell ref="I2:J2"/>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dimension ref="A1:AJ68"/>
  <sheetViews>
    <sheetView topLeftCell="A2" workbookViewId="0">
      <pane xSplit="3" ySplit="2" topLeftCell="R4" activePane="bottomRight" state="frozen"/>
      <selection activeCell="A2" sqref="A2"/>
      <selection pane="topRight" activeCell="D2" sqref="D2"/>
      <selection pane="bottomLeft" activeCell="A4" sqref="A4"/>
      <selection pane="bottomRight" activeCell="U5" sqref="U5"/>
    </sheetView>
  </sheetViews>
  <sheetFormatPr defaultRowHeight="15"/>
  <cols>
    <col min="29" max="30" width="12.28515625" bestFit="1" customWidth="1"/>
    <col min="32" max="32" width="23.5703125" bestFit="1" customWidth="1"/>
    <col min="33" max="33" width="12" bestFit="1" customWidth="1"/>
    <col min="35" max="35" width="23.140625" bestFit="1" customWidth="1"/>
    <col min="36" max="36" width="12.7109375" bestFit="1" customWidth="1"/>
    <col min="40" max="40" width="23.5703125" bestFit="1" customWidth="1"/>
    <col min="43" max="43" width="23.140625" bestFit="1" customWidth="1"/>
  </cols>
  <sheetData>
    <row r="1" spans="1:36" ht="15" customHeight="1">
      <c r="A1" t="s">
        <v>86</v>
      </c>
      <c r="C1" s="186" t="s">
        <v>38</v>
      </c>
      <c r="D1" s="172" t="s">
        <v>26</v>
      </c>
      <c r="E1" s="179"/>
      <c r="F1" s="179"/>
      <c r="G1" s="179"/>
      <c r="H1" s="182" t="s">
        <v>7</v>
      </c>
      <c r="I1" s="182"/>
      <c r="J1" s="182"/>
      <c r="K1" s="182"/>
      <c r="L1" s="182"/>
      <c r="M1" s="182"/>
      <c r="N1" s="182"/>
      <c r="O1" s="182"/>
      <c r="P1" s="182" t="s">
        <v>27</v>
      </c>
      <c r="Q1" s="182"/>
      <c r="R1" s="182" t="s">
        <v>28</v>
      </c>
      <c r="S1" s="182"/>
      <c r="T1" s="188" t="s">
        <v>205</v>
      </c>
      <c r="U1" s="189"/>
      <c r="V1" s="189"/>
      <c r="W1" s="189"/>
      <c r="X1" s="189"/>
      <c r="Y1" s="189"/>
      <c r="Z1" s="189"/>
      <c r="AA1" s="189"/>
      <c r="AB1" s="189"/>
      <c r="AC1" s="190"/>
    </row>
    <row r="2" spans="1:36">
      <c r="C2" s="187"/>
      <c r="D2" s="180"/>
      <c r="E2" s="181"/>
      <c r="F2" s="181"/>
      <c r="G2" s="181"/>
      <c r="H2" s="183" t="s">
        <v>39</v>
      </c>
      <c r="I2" s="183"/>
      <c r="J2" s="183"/>
      <c r="K2" s="183"/>
      <c r="L2" s="183" t="s">
        <v>40</v>
      </c>
      <c r="M2" s="183"/>
      <c r="N2" s="183"/>
      <c r="O2" s="183"/>
      <c r="P2" s="87" t="s">
        <v>29</v>
      </c>
      <c r="Q2" s="87" t="s">
        <v>30</v>
      </c>
      <c r="R2" s="183" t="s">
        <v>31</v>
      </c>
      <c r="S2" s="183"/>
      <c r="T2" s="183" t="s">
        <v>34</v>
      </c>
      <c r="U2" s="183"/>
      <c r="V2" s="184" t="s">
        <v>206</v>
      </c>
      <c r="W2" s="185"/>
      <c r="X2" s="183" t="s">
        <v>207</v>
      </c>
      <c r="Y2" s="183"/>
      <c r="Z2" s="183" t="s">
        <v>297</v>
      </c>
      <c r="AA2" s="183"/>
      <c r="AB2" s="183"/>
      <c r="AC2" s="183"/>
    </row>
    <row r="3" spans="1:36" ht="75">
      <c r="B3" t="s">
        <v>182</v>
      </c>
      <c r="C3" s="187"/>
      <c r="D3" s="72" t="s">
        <v>11</v>
      </c>
      <c r="E3" s="73" t="s">
        <v>12</v>
      </c>
      <c r="F3" s="73" t="s">
        <v>13</v>
      </c>
      <c r="G3" s="73" t="s">
        <v>1</v>
      </c>
      <c r="H3" s="73" t="s">
        <v>15</v>
      </c>
      <c r="I3" s="73" t="s">
        <v>11</v>
      </c>
      <c r="J3" s="73" t="s">
        <v>16</v>
      </c>
      <c r="K3" s="73" t="s">
        <v>17</v>
      </c>
      <c r="L3" s="73" t="s">
        <v>18</v>
      </c>
      <c r="M3" s="73" t="s">
        <v>11</v>
      </c>
      <c r="N3" s="73" t="s">
        <v>19</v>
      </c>
      <c r="O3" s="73" t="s">
        <v>20</v>
      </c>
      <c r="P3" s="73" t="s">
        <v>14</v>
      </c>
      <c r="Q3" s="73" t="s">
        <v>14</v>
      </c>
      <c r="R3" s="73" t="s">
        <v>32</v>
      </c>
      <c r="S3" s="73" t="s">
        <v>33</v>
      </c>
      <c r="T3" s="73" t="s">
        <v>26</v>
      </c>
      <c r="U3" s="73" t="s">
        <v>208</v>
      </c>
      <c r="V3" s="73" t="s">
        <v>26</v>
      </c>
      <c r="W3" s="73" t="s">
        <v>208</v>
      </c>
      <c r="X3" s="73" t="s">
        <v>26</v>
      </c>
      <c r="Y3" s="73" t="s">
        <v>208</v>
      </c>
      <c r="Z3" s="73" t="s">
        <v>26</v>
      </c>
      <c r="AA3" s="73" t="s">
        <v>208</v>
      </c>
      <c r="AB3" s="73" t="s">
        <v>4</v>
      </c>
      <c r="AC3" s="73" t="s">
        <v>5</v>
      </c>
      <c r="AE3" s="110" t="s">
        <v>439</v>
      </c>
      <c r="AF3" s="110"/>
      <c r="AG3" s="110"/>
      <c r="AH3" s="110"/>
      <c r="AI3" s="110"/>
      <c r="AJ3" s="110"/>
    </row>
    <row r="4" spans="1:36">
      <c r="B4" s="74" t="s">
        <v>183</v>
      </c>
      <c r="C4" t="s">
        <v>41</v>
      </c>
      <c r="D4" s="14" t="s">
        <v>35</v>
      </c>
      <c r="E4" s="12" t="s">
        <v>35</v>
      </c>
      <c r="F4" s="12" t="s">
        <v>35</v>
      </c>
      <c r="G4" s="12" t="s">
        <v>35</v>
      </c>
      <c r="H4" s="12" t="s">
        <v>35</v>
      </c>
      <c r="I4" s="12" t="s">
        <v>35</v>
      </c>
      <c r="J4" s="12" t="s">
        <v>35</v>
      </c>
      <c r="K4" s="12" t="s">
        <v>35</v>
      </c>
      <c r="L4" s="12" t="s">
        <v>35</v>
      </c>
      <c r="M4" s="12" t="s">
        <v>35</v>
      </c>
      <c r="N4" s="12" t="s">
        <v>35</v>
      </c>
      <c r="O4" s="12" t="s">
        <v>35</v>
      </c>
      <c r="P4" s="75">
        <v>0</v>
      </c>
      <c r="Q4" s="12">
        <v>0</v>
      </c>
      <c r="R4" s="12">
        <v>1600</v>
      </c>
      <c r="S4" s="12" t="s">
        <v>42</v>
      </c>
      <c r="T4">
        <v>3.1100732484076393E-2</v>
      </c>
      <c r="U4">
        <v>0.5882129807143569</v>
      </c>
      <c r="V4">
        <v>1.17188</v>
      </c>
      <c r="W4">
        <v>26.168089806198001</v>
      </c>
      <c r="X4">
        <v>2784.3460317460317</v>
      </c>
      <c r="Y4">
        <v>8130.833333333333</v>
      </c>
      <c r="Z4" s="76">
        <f>(4096-X4)/4096</f>
        <v>0.32022801959325398</v>
      </c>
      <c r="AA4" s="76">
        <f>(10240-Y4)/10240</f>
        <v>0.20597330729166669</v>
      </c>
      <c r="AB4" s="76"/>
      <c r="AC4" s="76"/>
    </row>
    <row r="5" spans="1:36">
      <c r="B5" s="74" t="s">
        <v>183</v>
      </c>
      <c r="C5" t="s">
        <v>61</v>
      </c>
      <c r="D5" s="14"/>
      <c r="E5" s="12"/>
      <c r="F5" s="12"/>
      <c r="G5" s="12"/>
      <c r="H5" s="12"/>
      <c r="I5" s="12"/>
      <c r="J5" s="12"/>
      <c r="K5" s="12"/>
      <c r="L5" s="12"/>
      <c r="M5" s="12"/>
      <c r="N5" s="12"/>
      <c r="O5" s="12"/>
      <c r="P5" s="75">
        <v>1.06</v>
      </c>
      <c r="Q5" s="12"/>
      <c r="R5" s="12"/>
      <c r="S5" s="12" t="s">
        <v>62</v>
      </c>
      <c r="T5">
        <v>4.9042851898256563</v>
      </c>
      <c r="U5">
        <v>7.0539970465341755</v>
      </c>
      <c r="V5">
        <v>56.640619999999998</v>
      </c>
      <c r="W5">
        <v>35.1580500921647</v>
      </c>
      <c r="X5">
        <v>2698.3505323505324</v>
      </c>
      <c r="Y5">
        <v>2811.9457236842104</v>
      </c>
      <c r="Z5" s="76">
        <f t="shared" ref="Z5:Z57" si="0">(4096-X5)/4096</f>
        <v>0.34122301456285831</v>
      </c>
      <c r="AA5" s="76">
        <f t="shared" ref="AA5:AA57" si="1">(10240-Y5)/10240</f>
        <v>0.72539592542146392</v>
      </c>
      <c r="AB5" s="76"/>
      <c r="AC5" s="76"/>
      <c r="AG5" t="s">
        <v>441</v>
      </c>
      <c r="AJ5" t="s">
        <v>442</v>
      </c>
    </row>
    <row r="6" spans="1:36">
      <c r="B6" s="74" t="s">
        <v>183</v>
      </c>
      <c r="C6" t="s">
        <v>43</v>
      </c>
      <c r="D6">
        <v>5</v>
      </c>
      <c r="E6" t="s">
        <v>23</v>
      </c>
      <c r="F6" t="s">
        <v>23</v>
      </c>
      <c r="G6" t="s">
        <v>2</v>
      </c>
      <c r="H6">
        <v>4</v>
      </c>
      <c r="I6">
        <v>5</v>
      </c>
      <c r="J6" t="s">
        <v>23</v>
      </c>
      <c r="K6" t="s">
        <v>23</v>
      </c>
      <c r="L6">
        <v>4</v>
      </c>
      <c r="M6">
        <v>5</v>
      </c>
      <c r="N6" t="s">
        <v>2</v>
      </c>
      <c r="O6" t="s">
        <v>2</v>
      </c>
      <c r="P6" s="65">
        <v>0</v>
      </c>
      <c r="Q6">
        <v>0</v>
      </c>
      <c r="R6">
        <v>1600</v>
      </c>
      <c r="S6" t="s">
        <v>42</v>
      </c>
      <c r="T6">
        <v>0.22127174050632897</v>
      </c>
      <c r="U6">
        <v>0.60243963770476472</v>
      </c>
      <c r="V6">
        <v>6.6406299999999998</v>
      </c>
      <c r="W6">
        <v>25.777449805429999</v>
      </c>
      <c r="X6">
        <v>2640.1608832807569</v>
      </c>
      <c r="Y6">
        <v>7953.7047619047617</v>
      </c>
      <c r="Z6" s="76">
        <f t="shared" si="0"/>
        <v>0.35542947185528395</v>
      </c>
      <c r="AA6" s="76">
        <f t="shared" si="1"/>
        <v>0.22327101934523813</v>
      </c>
      <c r="AB6" s="76"/>
      <c r="AC6" s="76"/>
      <c r="AE6">
        <v>2</v>
      </c>
      <c r="AF6" t="s">
        <v>368</v>
      </c>
      <c r="AG6">
        <v>6.024396377047647E-3</v>
      </c>
      <c r="AI6" t="s">
        <v>369</v>
      </c>
      <c r="AJ6">
        <v>6.6720253785612109E-3</v>
      </c>
    </row>
    <row r="7" spans="1:36">
      <c r="A7" s="74" t="s">
        <v>183</v>
      </c>
      <c r="B7" s="74" t="s">
        <v>183</v>
      </c>
      <c r="C7" t="s">
        <v>63</v>
      </c>
      <c r="P7" s="65">
        <v>1.06</v>
      </c>
      <c r="S7" t="s">
        <v>62</v>
      </c>
      <c r="T7">
        <v>3.2115666877439502</v>
      </c>
      <c r="U7">
        <v>11.277680243402701</v>
      </c>
      <c r="V7">
        <v>48.828119999999899</v>
      </c>
      <c r="W7">
        <v>66.404529911931405</v>
      </c>
      <c r="X7">
        <v>2096.7485667485666</v>
      </c>
      <c r="Y7">
        <v>4852.3963815789475</v>
      </c>
      <c r="Z7" s="76">
        <f t="shared" si="0"/>
        <v>0.48809849444615072</v>
      </c>
      <c r="AA7" s="76">
        <f t="shared" si="1"/>
        <v>0.52613316586143088</v>
      </c>
      <c r="AB7" s="76"/>
      <c r="AC7" s="76"/>
      <c r="AE7">
        <v>2</v>
      </c>
      <c r="AF7" t="s">
        <v>370</v>
      </c>
      <c r="AG7">
        <v>0.47417336309523828</v>
      </c>
      <c r="AI7" t="s">
        <v>371</v>
      </c>
      <c r="AJ7">
        <v>7.094321474156555E-3</v>
      </c>
    </row>
    <row r="8" spans="1:36">
      <c r="B8" s="74" t="s">
        <v>183</v>
      </c>
      <c r="C8" t="s">
        <v>49</v>
      </c>
      <c r="D8">
        <v>5</v>
      </c>
      <c r="E8" t="s">
        <v>23</v>
      </c>
      <c r="F8" t="s">
        <v>23</v>
      </c>
      <c r="G8" t="s">
        <v>2</v>
      </c>
      <c r="H8">
        <v>4</v>
      </c>
      <c r="I8">
        <v>3</v>
      </c>
      <c r="J8" t="s">
        <v>23</v>
      </c>
      <c r="K8" t="s">
        <v>23</v>
      </c>
      <c r="L8">
        <v>4</v>
      </c>
      <c r="M8">
        <v>5</v>
      </c>
      <c r="N8" t="s">
        <v>2</v>
      </c>
      <c r="O8" t="s">
        <v>2</v>
      </c>
      <c r="P8" s="65">
        <v>0</v>
      </c>
      <c r="Q8">
        <v>0</v>
      </c>
      <c r="R8">
        <v>1600</v>
      </c>
      <c r="S8" t="s">
        <v>42</v>
      </c>
      <c r="T8">
        <v>8.9285714285714218E-2</v>
      </c>
      <c r="U8">
        <v>0.59016651403194842</v>
      </c>
      <c r="V8">
        <v>8.2031199999999895</v>
      </c>
      <c r="W8">
        <v>10.54229977</v>
      </c>
      <c r="X8">
        <v>2609.7974683544303</v>
      </c>
      <c r="Y8">
        <v>8131.6305732484079</v>
      </c>
      <c r="Z8" s="76">
        <f t="shared" si="0"/>
        <v>0.36284241495253167</v>
      </c>
      <c r="AA8" s="76">
        <f t="shared" si="1"/>
        <v>0.20589545183121016</v>
      </c>
      <c r="AB8" s="76"/>
      <c r="AC8" s="76"/>
      <c r="AE8">
        <v>3</v>
      </c>
      <c r="AF8" t="s">
        <v>372</v>
      </c>
      <c r="AG8">
        <v>5.9016651403194838E-3</v>
      </c>
      <c r="AI8" t="s">
        <v>373</v>
      </c>
      <c r="AJ8">
        <v>7.7623959287300322E-3</v>
      </c>
    </row>
    <row r="9" spans="1:36">
      <c r="A9" s="74" t="s">
        <v>183</v>
      </c>
      <c r="B9" s="74" t="s">
        <v>183</v>
      </c>
      <c r="C9" t="s">
        <v>70</v>
      </c>
      <c r="P9" s="65">
        <v>1.06</v>
      </c>
      <c r="S9" t="s">
        <v>62</v>
      </c>
      <c r="T9">
        <v>2.8445352533477446</v>
      </c>
      <c r="U9">
        <v>14.300944870828127</v>
      </c>
      <c r="V9">
        <v>31.25</v>
      </c>
      <c r="W9">
        <v>100</v>
      </c>
      <c r="X9">
        <v>1932.3210483210482</v>
      </c>
      <c r="Y9">
        <v>5758.0098684210525</v>
      </c>
      <c r="Z9" s="76">
        <f t="shared" si="0"/>
        <v>0.52824193156224408</v>
      </c>
      <c r="AA9" s="76">
        <f t="shared" si="1"/>
        <v>0.43769434878700658</v>
      </c>
      <c r="AB9" s="76"/>
      <c r="AC9" s="76"/>
      <c r="AE9">
        <v>3</v>
      </c>
      <c r="AF9" t="s">
        <v>374</v>
      </c>
      <c r="AG9">
        <v>0.38527142839370992</v>
      </c>
      <c r="AI9" t="s">
        <v>375</v>
      </c>
      <c r="AJ9">
        <v>7.0284031570337548E-3</v>
      </c>
    </row>
    <row r="10" spans="1:36">
      <c r="B10" s="74" t="s">
        <v>183</v>
      </c>
      <c r="C10" t="s">
        <v>55</v>
      </c>
      <c r="D10">
        <v>5</v>
      </c>
      <c r="E10" t="s">
        <v>23</v>
      </c>
      <c r="F10" t="s">
        <v>23</v>
      </c>
      <c r="G10" t="s">
        <v>2</v>
      </c>
      <c r="H10">
        <v>4</v>
      </c>
      <c r="I10">
        <v>1</v>
      </c>
      <c r="J10" t="s">
        <v>23</v>
      </c>
      <c r="K10" t="s">
        <v>23</v>
      </c>
      <c r="L10">
        <v>4</v>
      </c>
      <c r="M10">
        <v>5</v>
      </c>
      <c r="N10" t="s">
        <v>2</v>
      </c>
      <c r="O10" t="s">
        <v>2</v>
      </c>
      <c r="P10" s="65">
        <v>0</v>
      </c>
      <c r="Q10">
        <v>0</v>
      </c>
      <c r="R10">
        <v>1600</v>
      </c>
      <c r="S10" t="s">
        <v>42</v>
      </c>
      <c r="T10">
        <v>6.677199467550729E-2</v>
      </c>
      <c r="U10">
        <v>0.52049472821571197</v>
      </c>
      <c r="V10">
        <v>8.2031199999999895</v>
      </c>
      <c r="W10">
        <v>3.5100721801575698</v>
      </c>
      <c r="X10">
        <v>2953.9274447949501</v>
      </c>
      <c r="Y10">
        <v>8480.2317460317463</v>
      </c>
      <c r="Z10" s="76">
        <f t="shared" si="0"/>
        <v>0.27882630742310788</v>
      </c>
      <c r="AA10" s="76">
        <f t="shared" si="1"/>
        <v>0.17185236855158728</v>
      </c>
      <c r="AB10" s="76"/>
      <c r="AC10" s="76"/>
      <c r="AE10">
        <v>4</v>
      </c>
      <c r="AF10" t="s">
        <v>376</v>
      </c>
      <c r="AG10">
        <v>5.2075400000000001E-3</v>
      </c>
      <c r="AI10" t="s">
        <v>377</v>
      </c>
      <c r="AJ10">
        <v>8.1134037499999995E-3</v>
      </c>
    </row>
    <row r="11" spans="1:36">
      <c r="A11" s="74" t="s">
        <v>183</v>
      </c>
      <c r="B11" s="74" t="s">
        <v>183</v>
      </c>
      <c r="C11" t="s">
        <v>76</v>
      </c>
      <c r="P11" s="65">
        <v>1.06</v>
      </c>
      <c r="S11" t="s">
        <v>62</v>
      </c>
      <c r="T11">
        <v>2.7926795510311995</v>
      </c>
      <c r="U11">
        <v>19.351153334545049</v>
      </c>
      <c r="V11">
        <v>25.78125</v>
      </c>
      <c r="W11">
        <v>100</v>
      </c>
      <c r="X11">
        <v>1930.4832104832105</v>
      </c>
      <c r="Y11">
        <v>6255.2261513157891</v>
      </c>
      <c r="Z11" s="76">
        <f t="shared" si="0"/>
        <v>0.52869062244062248</v>
      </c>
      <c r="AA11" s="76">
        <f t="shared" si="1"/>
        <v>0.38913807116056748</v>
      </c>
      <c r="AB11" s="76"/>
      <c r="AC11" s="76"/>
      <c r="AE11">
        <v>4</v>
      </c>
      <c r="AF11" t="s">
        <v>378</v>
      </c>
      <c r="AG11">
        <v>0.32809960937499999</v>
      </c>
      <c r="AI11" t="s">
        <v>379</v>
      </c>
      <c r="AJ11">
        <v>8.3620178222656247E-3</v>
      </c>
    </row>
    <row r="12" spans="1:36">
      <c r="B12" s="74" t="s">
        <v>183</v>
      </c>
      <c r="C12" t="s">
        <v>44</v>
      </c>
      <c r="D12">
        <v>5</v>
      </c>
      <c r="E12" t="s">
        <v>23</v>
      </c>
      <c r="F12" t="s">
        <v>23</v>
      </c>
      <c r="G12" t="s">
        <v>2</v>
      </c>
      <c r="H12">
        <v>4</v>
      </c>
      <c r="I12">
        <v>5</v>
      </c>
      <c r="J12" t="s">
        <v>23</v>
      </c>
      <c r="K12" t="s">
        <v>23</v>
      </c>
      <c r="L12">
        <v>4</v>
      </c>
      <c r="M12">
        <v>3</v>
      </c>
      <c r="N12" t="s">
        <v>2</v>
      </c>
      <c r="O12" t="s">
        <v>2</v>
      </c>
      <c r="P12" s="65">
        <v>0</v>
      </c>
      <c r="Q12">
        <v>0</v>
      </c>
      <c r="R12">
        <v>1600</v>
      </c>
      <c r="S12" t="s">
        <v>42</v>
      </c>
      <c r="T12">
        <v>0.14217743821579201</v>
      </c>
      <c r="U12">
        <v>0.74265672183024234</v>
      </c>
      <c r="V12">
        <v>19.921869999999899</v>
      </c>
      <c r="W12">
        <v>26.16809980671</v>
      </c>
      <c r="X12">
        <v>2635.9968454258674</v>
      </c>
      <c r="Y12">
        <v>7933.1174603174604</v>
      </c>
      <c r="Z12" s="76">
        <f t="shared" si="0"/>
        <v>0.35644608265970035</v>
      </c>
      <c r="AA12" s="76">
        <f t="shared" si="1"/>
        <v>0.22528149801587299</v>
      </c>
      <c r="AB12" s="76"/>
      <c r="AC12" s="76"/>
      <c r="AE12">
        <v>5</v>
      </c>
      <c r="AF12" t="s">
        <v>380</v>
      </c>
      <c r="AG12">
        <v>7.4265672183024233E-3</v>
      </c>
      <c r="AI12" t="s">
        <v>381</v>
      </c>
      <c r="AJ12">
        <v>6.2679207988560991E-3</v>
      </c>
    </row>
    <row r="13" spans="1:36">
      <c r="A13" s="74" t="s">
        <v>183</v>
      </c>
      <c r="B13" s="74" t="s">
        <v>183</v>
      </c>
      <c r="C13" t="s">
        <v>64</v>
      </c>
      <c r="P13" s="65">
        <v>1.06</v>
      </c>
      <c r="S13" t="s">
        <v>62</v>
      </c>
      <c r="T13">
        <v>2.3367313541504031</v>
      </c>
      <c r="U13">
        <v>15.497853162342292</v>
      </c>
      <c r="V13">
        <v>28.90625</v>
      </c>
      <c r="W13">
        <v>100</v>
      </c>
      <c r="X13">
        <v>1932.4430794430793</v>
      </c>
      <c r="Y13">
        <v>5873.4375</v>
      </c>
      <c r="Z13" s="76">
        <f t="shared" si="0"/>
        <v>0.52821213880784201</v>
      </c>
      <c r="AA13" s="76">
        <f t="shared" si="1"/>
        <v>0.426422119140625</v>
      </c>
      <c r="AB13" s="76"/>
      <c r="AC13" s="76"/>
      <c r="AE13">
        <v>5</v>
      </c>
      <c r="AF13" t="s">
        <v>382</v>
      </c>
      <c r="AG13">
        <v>0.404658939422123</v>
      </c>
      <c r="AI13" t="s">
        <v>381</v>
      </c>
      <c r="AJ13">
        <v>4.9106772480313745E-3</v>
      </c>
    </row>
    <row r="14" spans="1:36">
      <c r="B14" s="74" t="s">
        <v>183</v>
      </c>
      <c r="C14" t="s">
        <v>50</v>
      </c>
      <c r="D14">
        <v>5</v>
      </c>
      <c r="E14" t="s">
        <v>23</v>
      </c>
      <c r="F14" t="s">
        <v>23</v>
      </c>
      <c r="G14" t="s">
        <v>2</v>
      </c>
      <c r="H14">
        <v>4</v>
      </c>
      <c r="I14">
        <v>3</v>
      </c>
      <c r="J14" t="s">
        <v>23</v>
      </c>
      <c r="K14" t="s">
        <v>23</v>
      </c>
      <c r="L14">
        <v>4</v>
      </c>
      <c r="M14">
        <v>3</v>
      </c>
      <c r="N14" t="s">
        <v>2</v>
      </c>
      <c r="O14" t="s">
        <v>2</v>
      </c>
      <c r="P14" s="65">
        <v>0</v>
      </c>
      <c r="Q14">
        <v>0</v>
      </c>
      <c r="R14">
        <v>1600</v>
      </c>
      <c r="S14" t="s">
        <v>42</v>
      </c>
      <c r="T14">
        <v>0.31645569620253167</v>
      </c>
      <c r="U14">
        <v>0.79801954135781084</v>
      </c>
      <c r="V14">
        <v>26.5625</v>
      </c>
      <c r="W14">
        <v>26.161956166908801</v>
      </c>
      <c r="X14">
        <v>2931.5078864353313</v>
      </c>
      <c r="Y14">
        <v>2092.638095238095</v>
      </c>
      <c r="Z14" s="76">
        <f t="shared" si="0"/>
        <v>0.28429983241324919</v>
      </c>
      <c r="AA14" s="76">
        <f t="shared" si="1"/>
        <v>0.79564081101190476</v>
      </c>
      <c r="AB14" s="76"/>
      <c r="AC14" s="76"/>
      <c r="AE14">
        <v>6</v>
      </c>
      <c r="AF14" t="s">
        <v>383</v>
      </c>
      <c r="AG14">
        <v>7.9801954135781082E-3</v>
      </c>
      <c r="AI14" t="s">
        <v>384</v>
      </c>
      <c r="AJ14">
        <v>6.6099127866513681E-3</v>
      </c>
    </row>
    <row r="15" spans="1:36">
      <c r="A15" s="74" t="s">
        <v>183</v>
      </c>
      <c r="B15" s="74" t="s">
        <v>183</v>
      </c>
      <c r="C15" t="s">
        <v>71</v>
      </c>
      <c r="P15" s="65">
        <v>1.06</v>
      </c>
      <c r="S15" t="s">
        <v>62</v>
      </c>
      <c r="T15">
        <v>4.50662121480614</v>
      </c>
      <c r="U15">
        <v>13.328837832978722</v>
      </c>
      <c r="V15">
        <v>40.234369999999899</v>
      </c>
      <c r="W15">
        <v>94.921619986943298</v>
      </c>
      <c r="X15">
        <v>1925.6863226863227</v>
      </c>
      <c r="Y15">
        <v>6200.9712171052633</v>
      </c>
      <c r="Z15" s="76">
        <f t="shared" si="0"/>
        <v>0.52986173762540956</v>
      </c>
      <c r="AA15" s="76">
        <f t="shared" si="1"/>
        <v>0.39443640457956414</v>
      </c>
      <c r="AB15" s="76"/>
      <c r="AC15" s="76"/>
      <c r="AE15">
        <v>6</v>
      </c>
      <c r="AF15" t="s">
        <v>385</v>
      </c>
      <c r="AG15">
        <v>0.33747598679315427</v>
      </c>
      <c r="AI15" t="s">
        <v>386</v>
      </c>
      <c r="AJ15">
        <v>6.5343365187872362E-3</v>
      </c>
    </row>
    <row r="16" spans="1:36">
      <c r="B16" s="74" t="s">
        <v>183</v>
      </c>
      <c r="C16" t="s">
        <v>56</v>
      </c>
      <c r="D16">
        <v>5</v>
      </c>
      <c r="E16" t="s">
        <v>23</v>
      </c>
      <c r="F16" t="s">
        <v>23</v>
      </c>
      <c r="G16" t="s">
        <v>2</v>
      </c>
      <c r="H16">
        <v>4</v>
      </c>
      <c r="I16">
        <v>1</v>
      </c>
      <c r="J16" t="s">
        <v>23</v>
      </c>
      <c r="K16" t="s">
        <v>23</v>
      </c>
      <c r="L16">
        <v>4</v>
      </c>
      <c r="M16">
        <v>3</v>
      </c>
      <c r="N16" t="s">
        <v>2</v>
      </c>
      <c r="O16" t="s">
        <v>2</v>
      </c>
      <c r="P16" s="65">
        <v>0</v>
      </c>
      <c r="Q16">
        <v>0</v>
      </c>
      <c r="R16">
        <v>1600</v>
      </c>
      <c r="S16" t="s">
        <v>42</v>
      </c>
      <c r="T16">
        <v>4.32850647980711E-2</v>
      </c>
      <c r="U16">
        <v>0.62743118133458042</v>
      </c>
      <c r="V16">
        <v>4.2968799999999998</v>
      </c>
      <c r="W16">
        <v>25.776974753745801</v>
      </c>
      <c r="X16">
        <v>2957.1293375394321</v>
      </c>
      <c r="Y16">
        <v>8478.8698412698395</v>
      </c>
      <c r="Z16" s="76">
        <f t="shared" si="0"/>
        <v>0.27804459532728709</v>
      </c>
      <c r="AA16" s="76">
        <f t="shared" si="1"/>
        <v>0.17198536706349224</v>
      </c>
      <c r="AB16" s="76"/>
      <c r="AC16" s="76"/>
      <c r="AE16">
        <v>7</v>
      </c>
      <c r="AF16" t="s">
        <v>387</v>
      </c>
      <c r="AG16">
        <v>6.4440000000000001E-3</v>
      </c>
      <c r="AI16" t="s">
        <v>388</v>
      </c>
      <c r="AJ16">
        <v>6.8466875000000003E-3</v>
      </c>
    </row>
    <row r="17" spans="1:36">
      <c r="A17" s="74" t="s">
        <v>183</v>
      </c>
      <c r="B17" s="74" t="s">
        <v>183</v>
      </c>
      <c r="C17" t="s">
        <v>77</v>
      </c>
      <c r="P17" s="65">
        <v>1.06</v>
      </c>
      <c r="S17" t="s">
        <v>62</v>
      </c>
      <c r="T17">
        <v>5.7832330777366465</v>
      </c>
      <c r="U17">
        <v>12.035931213396177</v>
      </c>
      <c r="V17">
        <v>36.328130000000002</v>
      </c>
      <c r="W17">
        <v>81.2490399508454</v>
      </c>
      <c r="X17">
        <v>1920.8247338247338</v>
      </c>
      <c r="Y17">
        <v>6756.2861842105267</v>
      </c>
      <c r="Z17" s="76">
        <f t="shared" si="0"/>
        <v>0.53104864896857085</v>
      </c>
      <c r="AA17" s="76">
        <f t="shared" si="1"/>
        <v>0.34020642732319073</v>
      </c>
      <c r="AB17" s="76"/>
      <c r="AC17" s="76"/>
      <c r="AE17">
        <v>7</v>
      </c>
      <c r="AF17" t="s">
        <v>389</v>
      </c>
      <c r="AG17">
        <v>0.25755079675099229</v>
      </c>
      <c r="AI17" t="s">
        <v>390</v>
      </c>
      <c r="AJ17">
        <v>1.0042498420836422E-2</v>
      </c>
    </row>
    <row r="18" spans="1:36">
      <c r="B18" s="74" t="s">
        <v>183</v>
      </c>
      <c r="C18" t="s">
        <v>45</v>
      </c>
      <c r="D18">
        <v>5</v>
      </c>
      <c r="E18" t="s">
        <v>23</v>
      </c>
      <c r="F18" t="s">
        <v>23</v>
      </c>
      <c r="G18" t="s">
        <v>2</v>
      </c>
      <c r="H18">
        <v>4</v>
      </c>
      <c r="I18">
        <v>5</v>
      </c>
      <c r="J18" t="s">
        <v>23</v>
      </c>
      <c r="K18" t="s">
        <v>23</v>
      </c>
      <c r="L18">
        <v>4</v>
      </c>
      <c r="M18">
        <v>1</v>
      </c>
      <c r="N18" t="s">
        <v>2</v>
      </c>
      <c r="O18" t="s">
        <v>2</v>
      </c>
      <c r="P18" s="65">
        <v>0</v>
      </c>
      <c r="Q18">
        <v>0</v>
      </c>
      <c r="R18">
        <v>1600</v>
      </c>
      <c r="S18" t="s">
        <v>42</v>
      </c>
      <c r="T18">
        <v>0.15946401898734175</v>
      </c>
      <c r="U18">
        <v>0.6970261032657552</v>
      </c>
      <c r="V18">
        <v>25</v>
      </c>
      <c r="W18">
        <v>26.558739807478101</v>
      </c>
      <c r="X18">
        <v>2628.4763406940065</v>
      </c>
      <c r="Y18">
        <v>7964.3650793650795</v>
      </c>
      <c r="Z18" s="76">
        <f t="shared" si="0"/>
        <v>0.35828214338525233</v>
      </c>
      <c r="AA18" s="76">
        <f t="shared" si="1"/>
        <v>0.22222997271825395</v>
      </c>
      <c r="AB18" s="76"/>
      <c r="AC18" s="76"/>
      <c r="AE18">
        <v>8</v>
      </c>
      <c r="AF18" t="s">
        <v>391</v>
      </c>
      <c r="AG18">
        <v>8.2629999999999995E-3</v>
      </c>
      <c r="AI18" t="s">
        <v>392</v>
      </c>
      <c r="AJ18">
        <v>7.1491875000000002E-3</v>
      </c>
    </row>
    <row r="19" spans="1:36">
      <c r="A19" s="74" t="s">
        <v>183</v>
      </c>
      <c r="B19" s="74" t="s">
        <v>183</v>
      </c>
      <c r="C19" t="s">
        <v>65</v>
      </c>
      <c r="P19" s="65">
        <v>1.06</v>
      </c>
      <c r="S19" t="s">
        <v>62</v>
      </c>
      <c r="T19">
        <v>3.9833325003022466</v>
      </c>
      <c r="U19">
        <v>20.062654620926761</v>
      </c>
      <c r="V19">
        <v>30.078119999999899</v>
      </c>
      <c r="W19">
        <v>100</v>
      </c>
      <c r="X19">
        <v>1924.6003276003275</v>
      </c>
      <c r="Y19">
        <v>6451.5970394736842</v>
      </c>
      <c r="Z19" s="76">
        <f t="shared" si="0"/>
        <v>0.53012687314445128</v>
      </c>
      <c r="AA19" s="76">
        <f t="shared" si="1"/>
        <v>0.36996122661389802</v>
      </c>
      <c r="AB19" s="76"/>
      <c r="AC19" s="76"/>
      <c r="AE19">
        <v>8</v>
      </c>
      <c r="AF19" t="s">
        <v>393</v>
      </c>
      <c r="AG19">
        <v>0.37961640624999993</v>
      </c>
      <c r="AI19" t="s">
        <v>394</v>
      </c>
      <c r="AJ19">
        <v>3.8587615966796962E-3</v>
      </c>
    </row>
    <row r="20" spans="1:36">
      <c r="B20" s="74" t="s">
        <v>183</v>
      </c>
      <c r="C20" t="s">
        <v>51</v>
      </c>
      <c r="D20">
        <v>5</v>
      </c>
      <c r="E20" t="s">
        <v>23</v>
      </c>
      <c r="F20" t="s">
        <v>23</v>
      </c>
      <c r="G20" t="s">
        <v>2</v>
      </c>
      <c r="H20">
        <v>4</v>
      </c>
      <c r="I20">
        <v>3</v>
      </c>
      <c r="J20" t="s">
        <v>23</v>
      </c>
      <c r="K20" t="s">
        <v>23</v>
      </c>
      <c r="L20">
        <v>4</v>
      </c>
      <c r="M20">
        <v>1</v>
      </c>
      <c r="N20" t="s">
        <v>2</v>
      </c>
      <c r="O20" t="s">
        <v>2</v>
      </c>
      <c r="P20" s="65">
        <v>0</v>
      </c>
      <c r="Q20">
        <v>0</v>
      </c>
      <c r="R20">
        <v>1600</v>
      </c>
      <c r="S20" t="s">
        <v>42</v>
      </c>
      <c r="T20">
        <v>2.8431550632911348E-2</v>
      </c>
      <c r="U20">
        <v>0.51495884554106242</v>
      </c>
      <c r="V20">
        <v>3.5156299999999998</v>
      </c>
      <c r="W20">
        <v>3.1187996031746001</v>
      </c>
      <c r="X20">
        <v>2973.8517350157699</v>
      </c>
      <c r="Y20">
        <v>2134.4285714285716</v>
      </c>
      <c r="Z20" s="76">
        <f t="shared" si="0"/>
        <v>0.27396197875591555</v>
      </c>
      <c r="AA20" s="76">
        <f t="shared" si="1"/>
        <v>0.79155970982142854</v>
      </c>
      <c r="AB20" s="76"/>
      <c r="AC20" s="76"/>
      <c r="AE20">
        <v>9</v>
      </c>
      <c r="AF20" t="s">
        <v>395</v>
      </c>
      <c r="AG20">
        <v>5.3889600000000008E-3</v>
      </c>
      <c r="AI20" t="s">
        <v>396</v>
      </c>
      <c r="AJ20">
        <v>7.1468150000000008E-3</v>
      </c>
    </row>
    <row r="21" spans="1:36">
      <c r="A21" s="74" t="s">
        <v>183</v>
      </c>
      <c r="B21" s="74" t="s">
        <v>183</v>
      </c>
      <c r="C21" t="s">
        <v>72</v>
      </c>
      <c r="P21" s="65">
        <v>1.06</v>
      </c>
      <c r="S21" t="s">
        <v>62</v>
      </c>
      <c r="T21">
        <v>4.85335553278688</v>
      </c>
      <c r="U21">
        <v>11.579794906293387</v>
      </c>
      <c r="V21">
        <v>50</v>
      </c>
      <c r="W21">
        <v>82.030329952893496</v>
      </c>
      <c r="X21">
        <v>1920.7821457821458</v>
      </c>
      <c r="Y21">
        <v>6608.4547697368425</v>
      </c>
      <c r="Z21" s="76">
        <f t="shared" si="0"/>
        <v>0.53105904643990587</v>
      </c>
      <c r="AA21" s="76">
        <f t="shared" si="1"/>
        <v>0.35464308889288648</v>
      </c>
      <c r="AB21" s="76"/>
      <c r="AC21" s="76"/>
      <c r="AE21">
        <v>9</v>
      </c>
      <c r="AF21" t="s">
        <v>397</v>
      </c>
      <c r="AG21">
        <v>0.31111693638392868</v>
      </c>
      <c r="AI21" t="s">
        <v>398</v>
      </c>
      <c r="AJ21">
        <v>5.0685703822544578E-3</v>
      </c>
    </row>
    <row r="22" spans="1:36">
      <c r="B22" s="74" t="s">
        <v>183</v>
      </c>
      <c r="C22" t="s">
        <v>57</v>
      </c>
      <c r="D22">
        <v>5</v>
      </c>
      <c r="E22" t="s">
        <v>23</v>
      </c>
      <c r="F22" t="s">
        <v>23</v>
      </c>
      <c r="G22" t="s">
        <v>2</v>
      </c>
      <c r="H22">
        <v>4</v>
      </c>
      <c r="I22">
        <v>1</v>
      </c>
      <c r="J22" t="s">
        <v>23</v>
      </c>
      <c r="K22" t="s">
        <v>23</v>
      </c>
      <c r="L22">
        <v>4</v>
      </c>
      <c r="M22">
        <v>1</v>
      </c>
      <c r="N22" t="s">
        <v>2</v>
      </c>
      <c r="O22" t="s">
        <v>2</v>
      </c>
      <c r="P22" s="65">
        <v>0</v>
      </c>
      <c r="Q22">
        <v>0</v>
      </c>
      <c r="R22">
        <v>1600</v>
      </c>
      <c r="S22" t="s">
        <v>42</v>
      </c>
      <c r="T22">
        <v>3.2140031645569556E-2</v>
      </c>
      <c r="U22">
        <v>0.50933918579788595</v>
      </c>
      <c r="V22">
        <v>2.73436999999999</v>
      </c>
      <c r="W22">
        <v>3.5100621795815399</v>
      </c>
      <c r="X22">
        <v>2938.9842271293401</v>
      </c>
      <c r="Y22">
        <v>8465.730158730159</v>
      </c>
      <c r="Z22" s="76">
        <f t="shared" si="0"/>
        <v>0.28247455392350096</v>
      </c>
      <c r="AA22" s="76">
        <f t="shared" si="1"/>
        <v>0.17326853918650792</v>
      </c>
      <c r="AB22" s="76"/>
      <c r="AC22" s="76"/>
      <c r="AE22">
        <v>10</v>
      </c>
      <c r="AF22" t="s">
        <v>399</v>
      </c>
      <c r="AG22">
        <v>5.4389900000000003E-3</v>
      </c>
      <c r="AI22" t="s">
        <v>400</v>
      </c>
      <c r="AJ22">
        <v>6.1160006249999996E-3</v>
      </c>
    </row>
    <row r="23" spans="1:36">
      <c r="A23" s="74" t="s">
        <v>183</v>
      </c>
      <c r="B23" s="74" t="s">
        <v>183</v>
      </c>
      <c r="C23" t="s">
        <v>78</v>
      </c>
      <c r="P23" s="65">
        <v>1.06</v>
      </c>
      <c r="S23" t="s">
        <v>62</v>
      </c>
      <c r="T23">
        <v>3.8860936238615649</v>
      </c>
      <c r="U23">
        <v>11.417215378735307</v>
      </c>
      <c r="V23">
        <v>34.375</v>
      </c>
      <c r="W23">
        <v>59.372919893498498</v>
      </c>
      <c r="X23">
        <v>1929.3587223587199</v>
      </c>
      <c r="Y23">
        <v>6703.7639802631575</v>
      </c>
      <c r="Z23" s="76">
        <f t="shared" si="0"/>
        <v>0.5289651556741406</v>
      </c>
      <c r="AA23" s="76">
        <f t="shared" si="1"/>
        <v>0.34533554880242601</v>
      </c>
      <c r="AB23" s="76"/>
      <c r="AC23" s="76"/>
      <c r="AE23">
        <v>10</v>
      </c>
      <c r="AF23" t="s">
        <v>401</v>
      </c>
      <c r="AG23">
        <v>0.23653240637400774</v>
      </c>
      <c r="AI23" t="s">
        <v>402</v>
      </c>
      <c r="AJ23">
        <v>9.4347726973276428E-3</v>
      </c>
    </row>
    <row r="24" spans="1:36">
      <c r="B24" s="74" t="s">
        <v>183</v>
      </c>
      <c r="C24" t="s">
        <v>46</v>
      </c>
      <c r="D24">
        <v>5</v>
      </c>
      <c r="E24" t="s">
        <v>23</v>
      </c>
      <c r="F24" t="s">
        <v>23</v>
      </c>
      <c r="G24" t="s">
        <v>2</v>
      </c>
      <c r="H24">
        <v>2</v>
      </c>
      <c r="I24">
        <v>5</v>
      </c>
      <c r="J24" t="s">
        <v>23</v>
      </c>
      <c r="K24" t="s">
        <v>23</v>
      </c>
      <c r="L24">
        <v>2</v>
      </c>
      <c r="M24">
        <v>5</v>
      </c>
      <c r="N24" t="s">
        <v>2</v>
      </c>
      <c r="O24" t="s">
        <v>2</v>
      </c>
      <c r="P24" s="65">
        <v>0</v>
      </c>
      <c r="Q24">
        <v>0</v>
      </c>
      <c r="R24">
        <v>1600</v>
      </c>
      <c r="S24" t="s">
        <v>42</v>
      </c>
      <c r="T24">
        <v>3.3415445549527772E-2</v>
      </c>
      <c r="U24">
        <v>0.13870238818647901</v>
      </c>
      <c r="V24">
        <v>0.79365079365079005</v>
      </c>
      <c r="W24">
        <v>3.5106897473150598</v>
      </c>
      <c r="X24">
        <v>2622.3817034700314</v>
      </c>
      <c r="Y24">
        <v>8170.4666666666662</v>
      </c>
      <c r="Z24" s="76">
        <f t="shared" si="0"/>
        <v>0.35977009192626186</v>
      </c>
      <c r="AA24" s="76">
        <f t="shared" si="1"/>
        <v>0.20210286458333337</v>
      </c>
      <c r="AB24" s="76"/>
      <c r="AC24" s="76"/>
      <c r="AE24">
        <v>11</v>
      </c>
      <c r="AF24" t="s">
        <v>403</v>
      </c>
      <c r="AG24">
        <v>1.6304900000000001E-3</v>
      </c>
      <c r="AI24" t="s">
        <v>404</v>
      </c>
      <c r="AJ24">
        <v>9.6830318750000012E-3</v>
      </c>
    </row>
    <row r="25" spans="1:36">
      <c r="A25" s="74" t="s">
        <v>183</v>
      </c>
      <c r="B25" s="74" t="s">
        <v>183</v>
      </c>
      <c r="C25" t="s">
        <v>66</v>
      </c>
      <c r="P25" s="65">
        <v>1.06</v>
      </c>
      <c r="S25" t="s">
        <v>62</v>
      </c>
      <c r="T25">
        <v>3.0861130848757266</v>
      </c>
      <c r="U25">
        <v>11.276222414521554</v>
      </c>
      <c r="V25">
        <v>31.640619999999899</v>
      </c>
      <c r="W25">
        <v>46.316915618271103</v>
      </c>
      <c r="X25">
        <v>1921.6535626535626</v>
      </c>
      <c r="Y25">
        <v>5642.972861842105</v>
      </c>
      <c r="Z25" s="76">
        <f t="shared" si="0"/>
        <v>0.53084629818028262</v>
      </c>
      <c r="AA25" s="76">
        <f t="shared" si="1"/>
        <v>0.44892843146073191</v>
      </c>
      <c r="AB25" s="76"/>
      <c r="AC25" s="76"/>
      <c r="AE25">
        <v>11</v>
      </c>
      <c r="AF25" t="s">
        <v>405</v>
      </c>
      <c r="AG25">
        <v>0.32755979817708303</v>
      </c>
      <c r="AI25" t="s">
        <v>406</v>
      </c>
      <c r="AJ25">
        <v>1.017988688151044E-2</v>
      </c>
    </row>
    <row r="26" spans="1:36">
      <c r="B26" s="74" t="s">
        <v>183</v>
      </c>
      <c r="C26" t="s">
        <v>52</v>
      </c>
      <c r="D26">
        <v>5</v>
      </c>
      <c r="E26" t="s">
        <v>23</v>
      </c>
      <c r="F26" t="s">
        <v>23</v>
      </c>
      <c r="G26" t="s">
        <v>2</v>
      </c>
      <c r="H26">
        <v>2</v>
      </c>
      <c r="I26">
        <v>3</v>
      </c>
      <c r="J26" t="s">
        <v>23</v>
      </c>
      <c r="K26" t="s">
        <v>23</v>
      </c>
      <c r="L26">
        <v>2</v>
      </c>
      <c r="M26">
        <v>5</v>
      </c>
      <c r="N26" t="s">
        <v>2</v>
      </c>
      <c r="O26" t="s">
        <v>2</v>
      </c>
      <c r="P26" s="65">
        <v>0</v>
      </c>
      <c r="Q26">
        <v>0</v>
      </c>
      <c r="R26">
        <v>1600</v>
      </c>
      <c r="S26" t="s">
        <v>42</v>
      </c>
      <c r="T26">
        <v>6.18273744223427E-2</v>
      </c>
      <c r="U26">
        <v>0.50556676948977963</v>
      </c>
      <c r="V26">
        <v>9.7656199999999895</v>
      </c>
      <c r="W26">
        <v>3.5100621795815399</v>
      </c>
      <c r="X26">
        <v>2970.9621451104099</v>
      </c>
      <c r="Y26">
        <v>8549.9555555555562</v>
      </c>
      <c r="Z26" s="76">
        <f t="shared" si="0"/>
        <v>0.27466744504140383</v>
      </c>
      <c r="AA26" s="76">
        <f t="shared" si="1"/>
        <v>0.16504340277777771</v>
      </c>
      <c r="AB26" s="76"/>
      <c r="AC26" s="76"/>
      <c r="AE26">
        <v>12</v>
      </c>
      <c r="AF26" t="s">
        <v>407</v>
      </c>
      <c r="AG26">
        <v>5.4188999999999999E-3</v>
      </c>
      <c r="AI26" t="s">
        <v>408</v>
      </c>
      <c r="AJ26">
        <v>6.8863937499999998E-3</v>
      </c>
    </row>
    <row r="27" spans="1:36">
      <c r="A27" s="77" t="s">
        <v>183</v>
      </c>
      <c r="B27" s="74" t="s">
        <v>183</v>
      </c>
      <c r="C27" t="s">
        <v>73</v>
      </c>
      <c r="P27" s="65">
        <v>1.06</v>
      </c>
      <c r="S27" t="s">
        <v>62</v>
      </c>
      <c r="T27">
        <v>3.7202533380171698</v>
      </c>
      <c r="U27">
        <v>11.045717032875311</v>
      </c>
      <c r="V27">
        <v>37.5</v>
      </c>
      <c r="W27">
        <v>43.3561173123571</v>
      </c>
      <c r="X27">
        <v>1921.1711711711712</v>
      </c>
      <c r="Y27">
        <v>5843.0032894736842</v>
      </c>
      <c r="Z27" s="76">
        <f t="shared" si="0"/>
        <v>0.53096406953828823</v>
      </c>
      <c r="AA27" s="76">
        <f t="shared" si="1"/>
        <v>0.42939421001233552</v>
      </c>
      <c r="AB27" s="76"/>
      <c r="AC27" s="76"/>
      <c r="AE27">
        <v>12</v>
      </c>
      <c r="AF27" t="s">
        <v>409</v>
      </c>
      <c r="AG27">
        <v>0.25472885199652734</v>
      </c>
      <c r="AI27" t="s">
        <v>410</v>
      </c>
      <c r="AJ27">
        <v>1.1171030002170165E-2</v>
      </c>
    </row>
    <row r="28" spans="1:36">
      <c r="B28" s="74" t="s">
        <v>183</v>
      </c>
      <c r="C28" t="s">
        <v>58</v>
      </c>
      <c r="D28">
        <v>5</v>
      </c>
      <c r="E28" t="s">
        <v>23</v>
      </c>
      <c r="F28" t="s">
        <v>23</v>
      </c>
      <c r="G28" t="s">
        <v>2</v>
      </c>
      <c r="H28">
        <v>2</v>
      </c>
      <c r="I28">
        <v>1</v>
      </c>
      <c r="J28" t="s">
        <v>23</v>
      </c>
      <c r="K28" t="s">
        <v>23</v>
      </c>
      <c r="L28">
        <v>2</v>
      </c>
      <c r="M28">
        <v>5</v>
      </c>
      <c r="N28" t="s">
        <v>2</v>
      </c>
      <c r="O28" t="s">
        <v>2</v>
      </c>
      <c r="P28" s="65">
        <v>0</v>
      </c>
      <c r="Q28">
        <v>0</v>
      </c>
      <c r="R28">
        <v>1600</v>
      </c>
      <c r="S28" t="s">
        <v>42</v>
      </c>
      <c r="T28">
        <v>0.15575553797468319</v>
      </c>
      <c r="U28">
        <v>0.51182235416384603</v>
      </c>
      <c r="V28">
        <v>18.359369999999899</v>
      </c>
      <c r="W28">
        <v>3.9007146811656401</v>
      </c>
      <c r="X28">
        <v>2941.186119873817</v>
      </c>
      <c r="Y28">
        <v>8516.9746031745999</v>
      </c>
      <c r="Z28" s="76">
        <f t="shared" si="0"/>
        <v>0.2819369824526814</v>
      </c>
      <c r="AA28" s="76">
        <f t="shared" si="1"/>
        <v>0.16826419890873048</v>
      </c>
      <c r="AB28" s="76"/>
      <c r="AC28" s="76"/>
      <c r="AE28">
        <v>13</v>
      </c>
      <c r="AF28" t="s">
        <v>411</v>
      </c>
      <c r="AG28">
        <v>5.2697999999999998E-3</v>
      </c>
      <c r="AI28" t="s">
        <v>412</v>
      </c>
      <c r="AJ28">
        <v>6.8907500000000002E-3</v>
      </c>
    </row>
    <row r="29" spans="1:36">
      <c r="B29" s="74" t="s">
        <v>183</v>
      </c>
      <c r="C29" t="s">
        <v>79</v>
      </c>
      <c r="P29" s="65">
        <v>1.06</v>
      </c>
      <c r="S29" t="s">
        <v>62</v>
      </c>
      <c r="T29">
        <v>5.3847928630024597</v>
      </c>
      <c r="U29">
        <v>10.654677458901713</v>
      </c>
      <c r="V29">
        <v>39.84375</v>
      </c>
      <c r="W29">
        <v>85.558926696878899</v>
      </c>
      <c r="X29">
        <v>2128.2049180327867</v>
      </c>
      <c r="Y29">
        <v>5960.0098684210525</v>
      </c>
      <c r="Z29" s="76">
        <f t="shared" si="0"/>
        <v>0.48041872118340168</v>
      </c>
      <c r="AA29" s="76">
        <f t="shared" si="1"/>
        <v>0.41796778628700659</v>
      </c>
      <c r="AB29" s="76"/>
      <c r="AC29" s="76"/>
      <c r="AE29">
        <v>13</v>
      </c>
      <c r="AF29" t="s">
        <v>413</v>
      </c>
      <c r="AG29">
        <v>0.24679396484374996</v>
      </c>
      <c r="AI29" t="s">
        <v>414</v>
      </c>
      <c r="AJ29">
        <v>1.3424962158203126E-2</v>
      </c>
    </row>
    <row r="30" spans="1:36">
      <c r="B30" s="74" t="s">
        <v>183</v>
      </c>
      <c r="C30" t="s">
        <v>47</v>
      </c>
      <c r="D30">
        <v>5</v>
      </c>
      <c r="E30" t="s">
        <v>23</v>
      </c>
      <c r="F30" t="s">
        <v>23</v>
      </c>
      <c r="G30" t="s">
        <v>2</v>
      </c>
      <c r="H30">
        <v>2</v>
      </c>
      <c r="I30">
        <v>5</v>
      </c>
      <c r="J30" t="s">
        <v>23</v>
      </c>
      <c r="K30" t="s">
        <v>23</v>
      </c>
      <c r="L30">
        <v>2</v>
      </c>
      <c r="M30">
        <v>3</v>
      </c>
      <c r="N30" t="s">
        <v>2</v>
      </c>
      <c r="O30" t="s">
        <v>2</v>
      </c>
      <c r="P30" s="65">
        <v>0</v>
      </c>
      <c r="Q30">
        <v>0</v>
      </c>
      <c r="R30">
        <v>1600</v>
      </c>
      <c r="S30" t="s">
        <v>42</v>
      </c>
      <c r="T30">
        <v>0.13983578629747925</v>
      </c>
      <c r="U30">
        <v>0.59403337419216362</v>
      </c>
      <c r="V30">
        <v>16.40625</v>
      </c>
      <c r="W30">
        <v>8.5890697603717197</v>
      </c>
      <c r="X30">
        <v>2614.6337579617834</v>
      </c>
      <c r="Y30">
        <v>8172.1474358974356</v>
      </c>
      <c r="Z30" s="76">
        <f t="shared" si="0"/>
        <v>0.36166168018511147</v>
      </c>
      <c r="AA30" s="76">
        <f t="shared" si="1"/>
        <v>0.20193872696314105</v>
      </c>
      <c r="AB30" s="76"/>
      <c r="AC30" s="76"/>
      <c r="AE30">
        <v>14</v>
      </c>
      <c r="AF30" t="s">
        <v>415</v>
      </c>
      <c r="AG30">
        <v>5.940333741921636E-3</v>
      </c>
      <c r="AI30" t="s">
        <v>416</v>
      </c>
      <c r="AJ30">
        <v>8.8768541411298977E-3</v>
      </c>
    </row>
    <row r="31" spans="1:36">
      <c r="B31" s="74" t="s">
        <v>183</v>
      </c>
      <c r="C31" t="s">
        <v>67</v>
      </c>
      <c r="P31" s="65">
        <v>1.06</v>
      </c>
      <c r="S31" t="s">
        <v>62</v>
      </c>
      <c r="T31">
        <v>1.8109631147540983</v>
      </c>
      <c r="U31">
        <v>14.339740642763337</v>
      </c>
      <c r="V31">
        <v>23.4375</v>
      </c>
      <c r="W31">
        <v>80.082230210186694</v>
      </c>
      <c r="X31">
        <v>2001.6887796887797</v>
      </c>
      <c r="Y31">
        <v>6215.3338815789475</v>
      </c>
      <c r="Z31" s="76">
        <f t="shared" si="0"/>
        <v>0.51130645027129407</v>
      </c>
      <c r="AA31" s="76">
        <f t="shared" si="1"/>
        <v>0.3930338006270559</v>
      </c>
      <c r="AB31" s="76"/>
      <c r="AC31" s="76"/>
      <c r="AE31">
        <v>14</v>
      </c>
      <c r="AF31" t="s">
        <v>417</v>
      </c>
      <c r="AG31">
        <v>0.29163355118189055</v>
      </c>
      <c r="AI31" t="s">
        <v>418</v>
      </c>
      <c r="AJ31">
        <v>8.3552394769130858E-3</v>
      </c>
    </row>
    <row r="32" spans="1:36">
      <c r="B32" s="74" t="s">
        <v>183</v>
      </c>
      <c r="C32" t="s">
        <v>53</v>
      </c>
      <c r="D32">
        <v>5</v>
      </c>
      <c r="E32" t="s">
        <v>23</v>
      </c>
      <c r="F32" t="s">
        <v>23</v>
      </c>
      <c r="G32" t="s">
        <v>2</v>
      </c>
      <c r="H32">
        <v>2</v>
      </c>
      <c r="I32">
        <v>3</v>
      </c>
      <c r="J32" t="s">
        <v>23</v>
      </c>
      <c r="K32" t="s">
        <v>23</v>
      </c>
      <c r="L32">
        <v>2</v>
      </c>
      <c r="M32">
        <v>3</v>
      </c>
      <c r="N32" t="s">
        <v>2</v>
      </c>
      <c r="O32" t="s">
        <v>2</v>
      </c>
      <c r="P32" s="65">
        <v>0</v>
      </c>
      <c r="Q32">
        <v>0</v>
      </c>
      <c r="R32">
        <v>1600</v>
      </c>
      <c r="S32" t="s">
        <v>42</v>
      </c>
      <c r="T32">
        <v>5.8844134615384562E-2</v>
      </c>
      <c r="U32">
        <v>0.17428185196095469</v>
      </c>
      <c r="V32">
        <v>4.6875</v>
      </c>
      <c r="W32">
        <v>9.3697796993106692</v>
      </c>
      <c r="X32">
        <v>2973.0127795527155</v>
      </c>
      <c r="Y32">
        <v>8546.4180064308675</v>
      </c>
      <c r="Z32" s="76">
        <f t="shared" si="0"/>
        <v>0.27416680186701281</v>
      </c>
      <c r="AA32" s="76">
        <f t="shared" si="1"/>
        <v>0.16538886655948559</v>
      </c>
      <c r="AB32" s="76"/>
      <c r="AC32" s="76"/>
      <c r="AE32">
        <v>15</v>
      </c>
      <c r="AF32" t="s">
        <v>419</v>
      </c>
      <c r="AG32">
        <v>1.7428185196095469E-3</v>
      </c>
      <c r="AI32" t="s">
        <v>420</v>
      </c>
      <c r="AJ32">
        <v>8.4398238425244035E-3</v>
      </c>
    </row>
    <row r="33" spans="1:36">
      <c r="B33" s="74" t="s">
        <v>183</v>
      </c>
      <c r="C33" t="s">
        <v>74</v>
      </c>
      <c r="P33" s="65">
        <v>1.06</v>
      </c>
      <c r="S33" t="s">
        <v>62</v>
      </c>
      <c r="T33">
        <v>0.81582991803278693</v>
      </c>
      <c r="U33">
        <v>9.5395977683171402</v>
      </c>
      <c r="V33">
        <v>28.125</v>
      </c>
      <c r="W33">
        <v>96.433503744597999</v>
      </c>
      <c r="X33">
        <v>2000.6822276822277</v>
      </c>
      <c r="Y33">
        <v>6707.6855967078191</v>
      </c>
      <c r="Z33" s="76">
        <f t="shared" si="0"/>
        <v>0.51155219050726863</v>
      </c>
      <c r="AA33" s="76">
        <f t="shared" si="1"/>
        <v>0.34495257844650207</v>
      </c>
      <c r="AB33" s="76"/>
      <c r="AC33" s="76"/>
      <c r="AE33">
        <v>15</v>
      </c>
      <c r="AF33" t="s">
        <v>421</v>
      </c>
      <c r="AG33">
        <v>0.21931738218448543</v>
      </c>
      <c r="AI33" t="s">
        <v>422</v>
      </c>
      <c r="AJ33">
        <v>1.0010314980657159E-2</v>
      </c>
    </row>
    <row r="34" spans="1:36">
      <c r="B34" s="74" t="s">
        <v>183</v>
      </c>
      <c r="C34" t="s">
        <v>59</v>
      </c>
      <c r="D34">
        <v>5</v>
      </c>
      <c r="E34" t="s">
        <v>23</v>
      </c>
      <c r="F34" t="s">
        <v>23</v>
      </c>
      <c r="G34" t="s">
        <v>2</v>
      </c>
      <c r="H34">
        <v>2</v>
      </c>
      <c r="I34">
        <v>1</v>
      </c>
      <c r="J34" t="s">
        <v>23</v>
      </c>
      <c r="K34" t="s">
        <v>23</v>
      </c>
      <c r="L34">
        <v>2</v>
      </c>
      <c r="M34">
        <v>3</v>
      </c>
      <c r="N34" t="s">
        <v>2</v>
      </c>
      <c r="O34" t="s">
        <v>2</v>
      </c>
      <c r="P34" s="65">
        <v>0</v>
      </c>
      <c r="Q34">
        <v>0</v>
      </c>
      <c r="R34">
        <v>1600</v>
      </c>
      <c r="S34" t="s">
        <v>42</v>
      </c>
      <c r="T34">
        <v>2.7195411392405017E-2</v>
      </c>
      <c r="U34">
        <v>0.49191990528180513</v>
      </c>
      <c r="V34">
        <v>2.7343799999999998</v>
      </c>
      <c r="W34">
        <v>3.1169393293521899</v>
      </c>
      <c r="X34">
        <v>2943.0189274447898</v>
      </c>
      <c r="Y34">
        <v>8514.4412698412707</v>
      </c>
      <c r="Z34" s="76">
        <f t="shared" si="0"/>
        <v>0.28148951966679936</v>
      </c>
      <c r="AA34" s="76">
        <f t="shared" si="1"/>
        <v>0.1685115947420634</v>
      </c>
      <c r="AB34" s="76"/>
      <c r="AC34" s="76"/>
      <c r="AE34">
        <v>16</v>
      </c>
      <c r="AF34" t="s">
        <v>423</v>
      </c>
      <c r="AG34">
        <v>4.9509999999999997E-3</v>
      </c>
      <c r="AI34" t="s">
        <v>424</v>
      </c>
      <c r="AJ34">
        <v>7.5059062499999996E-3</v>
      </c>
    </row>
    <row r="35" spans="1:36">
      <c r="B35" s="74" t="s">
        <v>183</v>
      </c>
      <c r="C35" t="s">
        <v>80</v>
      </c>
      <c r="P35" s="65">
        <v>1.06</v>
      </c>
      <c r="S35" t="s">
        <v>62</v>
      </c>
      <c r="T35">
        <v>3.5851050245901632</v>
      </c>
      <c r="U35">
        <v>10.003368413278421</v>
      </c>
      <c r="V35">
        <v>44.53125</v>
      </c>
      <c r="W35">
        <v>82.426617773183693</v>
      </c>
      <c r="X35">
        <v>2121.2530712530711</v>
      </c>
      <c r="Y35">
        <v>6549.3379934210525</v>
      </c>
      <c r="Z35" s="76">
        <f t="shared" si="0"/>
        <v>0.48211594940110569</v>
      </c>
      <c r="AA35" s="76">
        <f t="shared" si="1"/>
        <v>0.36041621157997533</v>
      </c>
      <c r="AB35" s="76"/>
      <c r="AC35" s="76"/>
      <c r="AE35">
        <v>16</v>
      </c>
      <c r="AF35" t="s">
        <v>425</v>
      </c>
      <c r="AG35">
        <v>0.21126142578125001</v>
      </c>
      <c r="AI35" t="s">
        <v>426</v>
      </c>
      <c r="AJ35">
        <v>1.3017474365234377E-2</v>
      </c>
    </row>
    <row r="36" spans="1:36">
      <c r="B36" s="74" t="s">
        <v>183</v>
      </c>
      <c r="C36" t="s">
        <v>48</v>
      </c>
      <c r="D36">
        <v>5</v>
      </c>
      <c r="E36" t="s">
        <v>23</v>
      </c>
      <c r="F36" t="s">
        <v>23</v>
      </c>
      <c r="G36" t="s">
        <v>2</v>
      </c>
      <c r="H36">
        <v>2</v>
      </c>
      <c r="I36">
        <v>5</v>
      </c>
      <c r="J36" t="s">
        <v>23</v>
      </c>
      <c r="K36" t="s">
        <v>23</v>
      </c>
      <c r="L36">
        <v>2</v>
      </c>
      <c r="M36">
        <v>1</v>
      </c>
      <c r="N36" t="s">
        <v>2</v>
      </c>
      <c r="O36" t="s">
        <v>2</v>
      </c>
      <c r="P36" s="65">
        <v>0</v>
      </c>
      <c r="Q36">
        <v>0</v>
      </c>
      <c r="R36">
        <v>1600</v>
      </c>
      <c r="S36" t="s">
        <v>42</v>
      </c>
      <c r="T36">
        <v>7.7897406067912095E-2</v>
      </c>
      <c r="U36">
        <v>0.61216274898396406</v>
      </c>
      <c r="V36">
        <v>16.796869999999899</v>
      </c>
      <c r="W36">
        <v>11.714229768564101</v>
      </c>
      <c r="X36">
        <v>2609.3533123028392</v>
      </c>
      <c r="Y36">
        <v>8165.8603174603177</v>
      </c>
      <c r="Z36" s="76">
        <f t="shared" si="0"/>
        <v>0.36295085148856465</v>
      </c>
      <c r="AA36" s="76">
        <f t="shared" si="1"/>
        <v>0.20255270337301584</v>
      </c>
      <c r="AB36" s="76"/>
      <c r="AC36" s="76"/>
      <c r="AE36">
        <v>17</v>
      </c>
      <c r="AF36" t="s">
        <v>427</v>
      </c>
      <c r="AG36">
        <v>6.1216274898396403E-3</v>
      </c>
      <c r="AI36" t="s">
        <v>428</v>
      </c>
      <c r="AJ36">
        <v>7.3347107818850224E-3</v>
      </c>
    </row>
    <row r="37" spans="1:36">
      <c r="B37" s="74" t="s">
        <v>183</v>
      </c>
      <c r="C37" t="s">
        <v>68</v>
      </c>
      <c r="P37" s="65">
        <v>1.06</v>
      </c>
      <c r="S37" t="s">
        <v>62</v>
      </c>
      <c r="T37">
        <v>0.79277663934426235</v>
      </c>
      <c r="U37">
        <v>12.767032580293</v>
      </c>
      <c r="V37">
        <v>23.4375</v>
      </c>
      <c r="W37">
        <v>82.038600658619004</v>
      </c>
      <c r="X37">
        <v>2007.4782964782964</v>
      </c>
      <c r="Y37">
        <v>6463.2672697368398</v>
      </c>
      <c r="Z37" s="76">
        <f t="shared" si="0"/>
        <v>0.50989299402385346</v>
      </c>
      <c r="AA37" s="76">
        <f t="shared" si="1"/>
        <v>0.36882155568976172</v>
      </c>
      <c r="AB37" s="76"/>
      <c r="AC37" s="76"/>
      <c r="AE37">
        <v>17</v>
      </c>
      <c r="AF37" t="s">
        <v>429</v>
      </c>
      <c r="AG37">
        <v>0.28109635571676561</v>
      </c>
      <c r="AI37" t="s">
        <v>430</v>
      </c>
      <c r="AJ37">
        <v>7.8082966153583998E-3</v>
      </c>
    </row>
    <row r="38" spans="1:36">
      <c r="B38" s="74" t="s">
        <v>183</v>
      </c>
      <c r="C38" t="s">
        <v>54</v>
      </c>
      <c r="D38">
        <v>5</v>
      </c>
      <c r="E38" t="s">
        <v>23</v>
      </c>
      <c r="F38" t="s">
        <v>23</v>
      </c>
      <c r="G38" t="s">
        <v>2</v>
      </c>
      <c r="H38">
        <v>2</v>
      </c>
      <c r="I38">
        <v>3</v>
      </c>
      <c r="J38" t="s">
        <v>23</v>
      </c>
      <c r="K38" t="s">
        <v>23</v>
      </c>
      <c r="L38">
        <v>2</v>
      </c>
      <c r="M38">
        <v>1</v>
      </c>
      <c r="N38" t="s">
        <v>2</v>
      </c>
      <c r="O38" t="s">
        <v>2</v>
      </c>
      <c r="P38" s="65">
        <v>0</v>
      </c>
      <c r="Q38">
        <v>0</v>
      </c>
      <c r="R38">
        <v>1600</v>
      </c>
      <c r="S38" t="s">
        <v>42</v>
      </c>
      <c r="T38">
        <v>0.155755537974684</v>
      </c>
      <c r="U38">
        <v>0.53179341620776122</v>
      </c>
      <c r="V38">
        <v>21.09375</v>
      </c>
      <c r="W38">
        <v>12.4871181037848</v>
      </c>
      <c r="X38">
        <v>2968.6498422712934</v>
      </c>
      <c r="Y38">
        <v>8536.5587301587293</v>
      </c>
      <c r="Z38" s="76">
        <f t="shared" si="0"/>
        <v>0.275231972101735</v>
      </c>
      <c r="AA38" s="76">
        <f t="shared" si="1"/>
        <v>0.16635168650793658</v>
      </c>
      <c r="AB38" s="76"/>
      <c r="AC38" s="76"/>
      <c r="AE38">
        <v>18</v>
      </c>
      <c r="AF38" t="s">
        <v>431</v>
      </c>
      <c r="AG38">
        <v>5.3179341620776125E-3</v>
      </c>
      <c r="AI38" t="s">
        <v>432</v>
      </c>
      <c r="AJ38">
        <v>6.4645041148701484E-3</v>
      </c>
    </row>
    <row r="39" spans="1:36">
      <c r="B39" s="74" t="s">
        <v>183</v>
      </c>
      <c r="C39" t="s">
        <v>75</v>
      </c>
      <c r="P39" s="65">
        <v>1.06</v>
      </c>
      <c r="S39" t="s">
        <v>62</v>
      </c>
      <c r="T39">
        <v>5.6210873399014769</v>
      </c>
      <c r="U39">
        <v>13.089129178314293</v>
      </c>
      <c r="V39">
        <v>50</v>
      </c>
      <c r="W39">
        <v>82.816740217099095</v>
      </c>
      <c r="X39">
        <v>1997.5849056603774</v>
      </c>
      <c r="Y39">
        <v>6779.7212171052633</v>
      </c>
      <c r="Z39" s="76">
        <f t="shared" si="0"/>
        <v>0.51230837264150941</v>
      </c>
      <c r="AA39" s="76">
        <f t="shared" si="1"/>
        <v>0.33791784989206414</v>
      </c>
      <c r="AB39" s="76"/>
      <c r="AC39" s="76"/>
      <c r="AE39">
        <v>18</v>
      </c>
      <c r="AF39" t="s">
        <v>433</v>
      </c>
      <c r="AG39">
        <v>0.2091286396329366</v>
      </c>
      <c r="AI39" t="s">
        <v>434</v>
      </c>
      <c r="AJ39">
        <v>-3.0378844246038001E-5</v>
      </c>
    </row>
    <row r="40" spans="1:36">
      <c r="B40" s="74" t="s">
        <v>183</v>
      </c>
      <c r="C40" t="s">
        <v>60</v>
      </c>
      <c r="D40">
        <v>5</v>
      </c>
      <c r="E40" t="s">
        <v>23</v>
      </c>
      <c r="F40" t="s">
        <v>23</v>
      </c>
      <c r="G40" t="s">
        <v>2</v>
      </c>
      <c r="H40">
        <v>2</v>
      </c>
      <c r="I40">
        <v>1</v>
      </c>
      <c r="J40" t="s">
        <v>23</v>
      </c>
      <c r="K40" t="s">
        <v>23</v>
      </c>
      <c r="L40">
        <v>2</v>
      </c>
      <c r="M40">
        <v>1</v>
      </c>
      <c r="N40" t="s">
        <v>2</v>
      </c>
      <c r="O40" t="s">
        <v>2</v>
      </c>
      <c r="P40" s="65">
        <v>0</v>
      </c>
      <c r="Q40">
        <v>0</v>
      </c>
      <c r="R40">
        <v>1600</v>
      </c>
      <c r="S40" t="s">
        <v>42</v>
      </c>
      <c r="T40">
        <v>5.0839345489250502E-2</v>
      </c>
      <c r="U40">
        <v>0.80663901517235825</v>
      </c>
      <c r="V40">
        <v>3.5156299999999998</v>
      </c>
      <c r="W40">
        <v>26.5582697563379</v>
      </c>
      <c r="X40">
        <v>2945.2933753943198</v>
      </c>
      <c r="Y40">
        <v>8510.9523809523816</v>
      </c>
      <c r="Z40" s="76">
        <f t="shared" si="0"/>
        <v>0.28093423452287114</v>
      </c>
      <c r="AA40" s="76">
        <f t="shared" si="1"/>
        <v>0.16885230654761899</v>
      </c>
      <c r="AB40" s="76"/>
      <c r="AC40" s="76"/>
      <c r="AE40">
        <v>19</v>
      </c>
      <c r="AF40" t="s">
        <v>435</v>
      </c>
      <c r="AG40">
        <v>8.3240299999999996E-3</v>
      </c>
      <c r="AI40" t="s">
        <v>436</v>
      </c>
      <c r="AJ40">
        <v>6.9326168750000004E-3</v>
      </c>
    </row>
    <row r="41" spans="1:36">
      <c r="B41" s="74" t="s">
        <v>183</v>
      </c>
      <c r="C41" t="s">
        <v>81</v>
      </c>
      <c r="P41" s="65">
        <v>1.06</v>
      </c>
      <c r="S41" t="s">
        <v>62</v>
      </c>
      <c r="T41">
        <v>5.5788934426229497</v>
      </c>
      <c r="U41">
        <v>9.839762815523347</v>
      </c>
      <c r="V41">
        <v>31.25</v>
      </c>
      <c r="W41">
        <v>63.2865154380844</v>
      </c>
      <c r="X41">
        <v>2124.8902538902539</v>
      </c>
      <c r="Y41">
        <v>6561.0205592105267</v>
      </c>
      <c r="Z41" s="76">
        <f t="shared" si="0"/>
        <v>0.48122796535882473</v>
      </c>
      <c r="AA41" s="76">
        <f t="shared" si="1"/>
        <v>0.35927533601459699</v>
      </c>
      <c r="AB41" s="76"/>
      <c r="AC41" s="76"/>
      <c r="AE41">
        <v>19</v>
      </c>
      <c r="AF41" t="s">
        <v>437</v>
      </c>
      <c r="AG41">
        <v>0.20047774600074417</v>
      </c>
      <c r="AI41" t="s">
        <v>438</v>
      </c>
      <c r="AJ41">
        <v>1.3159294927687864E-2</v>
      </c>
    </row>
    <row r="42" spans="1:36">
      <c r="B42" s="74" t="s">
        <v>183</v>
      </c>
      <c r="C42" t="s">
        <v>69</v>
      </c>
      <c r="D42">
        <v>5</v>
      </c>
      <c r="E42" t="s">
        <v>23</v>
      </c>
      <c r="F42" t="s">
        <v>23</v>
      </c>
      <c r="G42" t="s">
        <v>2</v>
      </c>
      <c r="H42">
        <v>4</v>
      </c>
      <c r="I42">
        <v>5</v>
      </c>
      <c r="J42" t="s">
        <v>2</v>
      </c>
      <c r="K42" t="s">
        <v>23</v>
      </c>
      <c r="L42">
        <v>4</v>
      </c>
      <c r="M42">
        <v>5</v>
      </c>
      <c r="N42" t="s">
        <v>2</v>
      </c>
      <c r="O42" t="s">
        <v>2</v>
      </c>
      <c r="P42">
        <v>1.06</v>
      </c>
      <c r="Q42">
        <v>0</v>
      </c>
      <c r="R42">
        <v>1600</v>
      </c>
      <c r="S42" t="s">
        <v>62</v>
      </c>
      <c r="T42">
        <v>1.19877049180328</v>
      </c>
      <c r="U42">
        <v>20.47525358280922</v>
      </c>
      <c r="V42">
        <v>26.5625</v>
      </c>
      <c r="W42">
        <v>95.774129481583302</v>
      </c>
      <c r="X42">
        <v>2004.969696969697</v>
      </c>
      <c r="Y42">
        <v>5367.5254934210525</v>
      </c>
      <c r="Z42" s="76">
        <f t="shared" si="0"/>
        <v>0.51050544507575757</v>
      </c>
      <c r="AA42" s="76">
        <f t="shared" si="1"/>
        <v>0.47582758853310037</v>
      </c>
      <c r="AB42" s="76"/>
      <c r="AC42" s="76"/>
    </row>
    <row r="43" spans="1:36">
      <c r="B43" s="74" t="s">
        <v>183</v>
      </c>
      <c r="C43" t="s">
        <v>82</v>
      </c>
      <c r="D43">
        <v>5</v>
      </c>
      <c r="E43" t="s">
        <v>23</v>
      </c>
      <c r="F43" t="s">
        <v>23</v>
      </c>
      <c r="G43" t="s">
        <v>2</v>
      </c>
      <c r="H43">
        <v>4</v>
      </c>
      <c r="I43">
        <v>1</v>
      </c>
      <c r="J43" t="s">
        <v>2</v>
      </c>
      <c r="K43" t="s">
        <v>23</v>
      </c>
      <c r="L43">
        <v>4</v>
      </c>
      <c r="M43">
        <v>1</v>
      </c>
      <c r="N43" t="s">
        <v>2</v>
      </c>
      <c r="O43" t="s">
        <v>2</v>
      </c>
      <c r="P43">
        <v>1.06</v>
      </c>
      <c r="Q43">
        <v>0</v>
      </c>
      <c r="R43">
        <v>1600</v>
      </c>
      <c r="S43" t="s">
        <v>62</v>
      </c>
      <c r="T43">
        <v>3.4017552740514105</v>
      </c>
      <c r="U43">
        <v>8.9435300592804072</v>
      </c>
      <c r="V43">
        <v>41.40625</v>
      </c>
      <c r="W43">
        <v>69.148595918249697</v>
      </c>
      <c r="X43">
        <v>2123.6436213991801</v>
      </c>
      <c r="Y43">
        <v>6140.6644682605111</v>
      </c>
      <c r="Z43" s="76">
        <f t="shared" si="0"/>
        <v>0.48153231899434079</v>
      </c>
      <c r="AA43" s="76">
        <f t="shared" si="1"/>
        <v>0.40032573552143447</v>
      </c>
      <c r="AB43" s="76"/>
      <c r="AC43" s="76"/>
    </row>
    <row r="44" spans="1:36">
      <c r="B44" s="74" t="s">
        <v>183</v>
      </c>
      <c r="C44" t="s">
        <v>209</v>
      </c>
      <c r="D44">
        <v>5</v>
      </c>
      <c r="E44" t="s">
        <v>23</v>
      </c>
      <c r="F44" t="s">
        <v>23</v>
      </c>
      <c r="G44" t="s">
        <v>2</v>
      </c>
      <c r="H44">
        <v>4</v>
      </c>
      <c r="I44">
        <v>5</v>
      </c>
      <c r="J44" t="s">
        <v>23</v>
      </c>
      <c r="K44" t="s">
        <v>22</v>
      </c>
      <c r="L44">
        <v>4</v>
      </c>
      <c r="M44">
        <v>5</v>
      </c>
      <c r="N44" t="s">
        <v>2</v>
      </c>
      <c r="O44" t="s">
        <v>2</v>
      </c>
      <c r="P44">
        <v>1.06</v>
      </c>
      <c r="Q44">
        <v>0</v>
      </c>
      <c r="R44">
        <v>1600</v>
      </c>
      <c r="S44" t="s">
        <v>62</v>
      </c>
      <c r="T44">
        <v>1.0796618852459017</v>
      </c>
      <c r="U44">
        <v>12.3819247782035</v>
      </c>
      <c r="V44">
        <v>17.1875</v>
      </c>
      <c r="W44">
        <v>92.582860242444397</v>
      </c>
      <c r="X44">
        <v>2006.2022932022933</v>
      </c>
      <c r="Y44">
        <v>4512.9679276315792</v>
      </c>
      <c r="Z44" s="76">
        <f t="shared" si="0"/>
        <v>0.51020451826115887</v>
      </c>
      <c r="AA44" s="76">
        <f t="shared" si="1"/>
        <v>0.55928047581722862</v>
      </c>
      <c r="AB44" s="76"/>
      <c r="AC44" s="90" t="s">
        <v>336</v>
      </c>
    </row>
    <row r="45" spans="1:36">
      <c r="B45" s="74" t="s">
        <v>183</v>
      </c>
      <c r="C45" t="s">
        <v>83</v>
      </c>
      <c r="D45">
        <v>5</v>
      </c>
      <c r="E45" t="s">
        <v>23</v>
      </c>
      <c r="F45" t="s">
        <v>23</v>
      </c>
      <c r="G45" t="s">
        <v>2</v>
      </c>
      <c r="H45">
        <v>4</v>
      </c>
      <c r="I45">
        <v>1</v>
      </c>
      <c r="J45" t="s">
        <v>23</v>
      </c>
      <c r="K45" t="s">
        <v>2</v>
      </c>
      <c r="L45">
        <v>4</v>
      </c>
      <c r="M45">
        <v>1</v>
      </c>
      <c r="N45" t="s">
        <v>2</v>
      </c>
      <c r="O45" t="s">
        <v>2</v>
      </c>
      <c r="P45">
        <v>1.06</v>
      </c>
      <c r="Q45">
        <v>0</v>
      </c>
      <c r="R45">
        <v>1600</v>
      </c>
      <c r="S45" t="s">
        <v>62</v>
      </c>
      <c r="T45">
        <v>4.5629482622950812</v>
      </c>
      <c r="U45">
        <v>8.8788015528338597</v>
      </c>
      <c r="V45">
        <v>36.71875</v>
      </c>
      <c r="W45">
        <v>49.222215243953102</v>
      </c>
      <c r="X45">
        <v>2122.4832104832103</v>
      </c>
      <c r="Y45">
        <v>5331.0814144736842</v>
      </c>
      <c r="Z45" s="76">
        <f t="shared" si="0"/>
        <v>0.48181562244062248</v>
      </c>
      <c r="AA45" s="76">
        <f t="shared" si="1"/>
        <v>0.47938658061780426</v>
      </c>
      <c r="AB45" s="76"/>
      <c r="AC45" s="76" t="s">
        <v>168</v>
      </c>
      <c r="AD45" t="s">
        <v>337</v>
      </c>
    </row>
    <row r="46" spans="1:36">
      <c r="A46" t="s">
        <v>330</v>
      </c>
      <c r="C46" t="s">
        <v>210</v>
      </c>
      <c r="D46">
        <v>5</v>
      </c>
      <c r="E46" t="s">
        <v>23</v>
      </c>
      <c r="F46" t="s">
        <v>23</v>
      </c>
      <c r="G46" t="s">
        <v>2</v>
      </c>
      <c r="H46">
        <v>4</v>
      </c>
      <c r="I46">
        <v>5</v>
      </c>
      <c r="J46" t="s">
        <v>23</v>
      </c>
      <c r="K46" t="s">
        <v>23</v>
      </c>
      <c r="L46">
        <v>4</v>
      </c>
      <c r="M46">
        <v>5</v>
      </c>
      <c r="N46" t="s">
        <v>23</v>
      </c>
      <c r="O46" t="s">
        <v>2</v>
      </c>
      <c r="P46">
        <v>1.06</v>
      </c>
      <c r="Q46">
        <v>0</v>
      </c>
      <c r="R46">
        <v>1600</v>
      </c>
      <c r="S46" t="s">
        <v>62</v>
      </c>
      <c r="T46">
        <v>3.2636550992714017</v>
      </c>
      <c r="U46">
        <v>15.844953255920613</v>
      </c>
      <c r="V46">
        <v>30.078119999999899</v>
      </c>
      <c r="W46">
        <v>70.701629923452003</v>
      </c>
      <c r="X46">
        <v>1894.7305487305487</v>
      </c>
      <c r="Y46">
        <v>5062.5476973684208</v>
      </c>
      <c r="Z46" s="76">
        <f t="shared" si="0"/>
        <v>0.53741929962633095</v>
      </c>
      <c r="AA46" s="76">
        <f t="shared" si="1"/>
        <v>0.5056105764288652</v>
      </c>
      <c r="AB46" s="76"/>
      <c r="AC46" s="76">
        <f>U46-U7</f>
        <v>4.5672730125179122</v>
      </c>
      <c r="AD46">
        <f>AA46-AA7</f>
        <v>-2.0522589432565685E-2</v>
      </c>
    </row>
    <row r="47" spans="1:36">
      <c r="A47" t="s">
        <v>331</v>
      </c>
      <c r="C47" t="s">
        <v>211</v>
      </c>
      <c r="D47">
        <v>5</v>
      </c>
      <c r="E47" t="s">
        <v>23</v>
      </c>
      <c r="F47" t="s">
        <v>23</v>
      </c>
      <c r="G47" t="s">
        <v>2</v>
      </c>
      <c r="H47">
        <v>4</v>
      </c>
      <c r="I47">
        <v>5</v>
      </c>
      <c r="J47" t="s">
        <v>23</v>
      </c>
      <c r="K47" t="s">
        <v>23</v>
      </c>
      <c r="L47">
        <v>2</v>
      </c>
      <c r="M47">
        <v>5</v>
      </c>
      <c r="N47" t="s">
        <v>23</v>
      </c>
      <c r="O47" t="s">
        <v>2</v>
      </c>
      <c r="P47">
        <v>1.06</v>
      </c>
      <c r="Q47">
        <v>0</v>
      </c>
      <c r="R47">
        <v>1600</v>
      </c>
      <c r="S47" t="s">
        <v>62</v>
      </c>
      <c r="T47">
        <v>4.6870558730830236</v>
      </c>
      <c r="U47">
        <v>19.008429102385001</v>
      </c>
      <c r="V47">
        <v>45.703130000000002</v>
      </c>
      <c r="W47">
        <v>94.922584900046004</v>
      </c>
      <c r="X47">
        <v>1887.7395577395578</v>
      </c>
      <c r="Y47">
        <v>5290.7039473684208</v>
      </c>
      <c r="Z47" s="76">
        <f t="shared" si="0"/>
        <v>0.53912608453624078</v>
      </c>
      <c r="AA47" s="76">
        <f t="shared" si="1"/>
        <v>0.48332969263980263</v>
      </c>
      <c r="AB47" s="76"/>
      <c r="AC47" s="76">
        <f>U47-U25</f>
        <v>7.7322066878634477</v>
      </c>
      <c r="AD47">
        <f>AA47-AA25</f>
        <v>3.4401261179070719E-2</v>
      </c>
    </row>
    <row r="48" spans="1:36">
      <c r="A48" t="s">
        <v>332</v>
      </c>
      <c r="C48" t="s">
        <v>212</v>
      </c>
      <c r="D48">
        <v>5</v>
      </c>
      <c r="E48" t="s">
        <v>23</v>
      </c>
      <c r="F48" t="s">
        <v>23</v>
      </c>
      <c r="G48" t="s">
        <v>2</v>
      </c>
      <c r="H48">
        <v>4</v>
      </c>
      <c r="I48">
        <v>5</v>
      </c>
      <c r="J48" t="s">
        <v>23</v>
      </c>
      <c r="K48" t="s">
        <v>23</v>
      </c>
      <c r="L48">
        <v>4</v>
      </c>
      <c r="M48">
        <v>3</v>
      </c>
      <c r="N48" t="s">
        <v>23</v>
      </c>
      <c r="O48" t="s">
        <v>2</v>
      </c>
      <c r="P48">
        <v>1.06</v>
      </c>
      <c r="Q48">
        <v>0</v>
      </c>
      <c r="R48">
        <v>1600</v>
      </c>
      <c r="S48" t="s">
        <v>62</v>
      </c>
      <c r="T48">
        <v>6.8167823397085607</v>
      </c>
      <c r="U48">
        <v>20.527598328948322</v>
      </c>
      <c r="V48">
        <v>49.609369999999899</v>
      </c>
      <c r="W48">
        <v>100</v>
      </c>
      <c r="X48">
        <v>1894.4807534807535</v>
      </c>
      <c r="Y48">
        <v>4758.0419407894733</v>
      </c>
      <c r="Z48" s="76">
        <f t="shared" si="0"/>
        <v>0.53748028479473797</v>
      </c>
      <c r="AA48" s="76">
        <f t="shared" si="1"/>
        <v>0.53534746671977795</v>
      </c>
      <c r="AB48" s="76"/>
      <c r="AC48" s="76">
        <f>U48-U13</f>
        <v>5.0297451666060304</v>
      </c>
      <c r="AD48">
        <f>AA48-AA13</f>
        <v>0.10892534757915295</v>
      </c>
    </row>
    <row r="49" spans="1:31">
      <c r="A49" t="s">
        <v>333</v>
      </c>
      <c r="C49" t="s">
        <v>213</v>
      </c>
      <c r="D49">
        <v>5</v>
      </c>
      <c r="E49" t="s">
        <v>23</v>
      </c>
      <c r="F49" t="s">
        <v>23</v>
      </c>
      <c r="G49" t="s">
        <v>2</v>
      </c>
      <c r="H49">
        <v>4</v>
      </c>
      <c r="I49">
        <v>5</v>
      </c>
      <c r="J49" t="s">
        <v>23</v>
      </c>
      <c r="K49" t="s">
        <v>23</v>
      </c>
      <c r="L49">
        <v>2</v>
      </c>
      <c r="M49">
        <v>3</v>
      </c>
      <c r="N49" t="s">
        <v>84</v>
      </c>
      <c r="O49" t="s">
        <v>2</v>
      </c>
      <c r="P49">
        <v>1.06</v>
      </c>
      <c r="Q49">
        <v>0</v>
      </c>
      <c r="R49">
        <v>1600</v>
      </c>
      <c r="S49" t="s">
        <v>62</v>
      </c>
      <c r="T49">
        <v>3.7877817622950807</v>
      </c>
      <c r="U49">
        <v>14.697028042523256</v>
      </c>
      <c r="V49">
        <v>31.640630000000002</v>
      </c>
      <c r="W49">
        <v>70.309079605970595</v>
      </c>
      <c r="X49">
        <v>1905.9770679770679</v>
      </c>
      <c r="Y49">
        <v>4949.0189144736842</v>
      </c>
      <c r="Z49" s="76">
        <f t="shared" si="0"/>
        <v>0.5346735673884111</v>
      </c>
      <c r="AA49" s="76">
        <f t="shared" si="1"/>
        <v>0.51669737163342933</v>
      </c>
      <c r="AB49" s="76"/>
      <c r="AC49" s="76">
        <f>U49-U31</f>
        <v>0.35728739975991886</v>
      </c>
      <c r="AD49">
        <f>AA49-AA31</f>
        <v>0.12366357100637343</v>
      </c>
    </row>
    <row r="50" spans="1:31">
      <c r="A50" t="s">
        <v>334</v>
      </c>
      <c r="C50" t="s">
        <v>214</v>
      </c>
      <c r="D50">
        <v>5</v>
      </c>
      <c r="E50" t="s">
        <v>23</v>
      </c>
      <c r="F50" t="s">
        <v>23</v>
      </c>
      <c r="G50" t="s">
        <v>2</v>
      </c>
      <c r="H50">
        <v>4</v>
      </c>
      <c r="I50">
        <v>5</v>
      </c>
      <c r="J50" t="s">
        <v>23</v>
      </c>
      <c r="K50" t="s">
        <v>23</v>
      </c>
      <c r="L50">
        <v>4</v>
      </c>
      <c r="M50">
        <v>1</v>
      </c>
      <c r="N50" t="s">
        <v>84</v>
      </c>
      <c r="O50" t="s">
        <v>2</v>
      </c>
      <c r="P50">
        <v>1.06</v>
      </c>
      <c r="Q50">
        <v>0</v>
      </c>
      <c r="R50">
        <v>1600</v>
      </c>
      <c r="S50" t="s">
        <v>62</v>
      </c>
      <c r="T50">
        <v>2.5626102166312803</v>
      </c>
      <c r="U50">
        <v>11.683569864365596</v>
      </c>
      <c r="V50">
        <v>94.033607017436196</v>
      </c>
      <c r="W50">
        <v>55.466469883258</v>
      </c>
      <c r="X50">
        <v>1899.8361998361997</v>
      </c>
      <c r="Y50">
        <v>4535.9868421052633</v>
      </c>
      <c r="Z50" s="76">
        <f t="shared" si="0"/>
        <v>0.5361728027743653</v>
      </c>
      <c r="AA50" s="76">
        <f t="shared" si="1"/>
        <v>0.55703253495065785</v>
      </c>
      <c r="AB50" s="76"/>
      <c r="AC50" s="76">
        <f>U50-U19</f>
        <v>-8.3790847565611646</v>
      </c>
      <c r="AD50">
        <f>AA50-AA19</f>
        <v>0.18707130833675983</v>
      </c>
    </row>
    <row r="51" spans="1:31">
      <c r="A51" t="s">
        <v>335</v>
      </c>
      <c r="C51" t="s">
        <v>215</v>
      </c>
      <c r="D51">
        <v>5</v>
      </c>
      <c r="E51" t="s">
        <v>23</v>
      </c>
      <c r="F51" t="s">
        <v>23</v>
      </c>
      <c r="G51" t="s">
        <v>2</v>
      </c>
      <c r="H51">
        <v>4</v>
      </c>
      <c r="I51">
        <v>5</v>
      </c>
      <c r="J51" t="s">
        <v>23</v>
      </c>
      <c r="K51" t="s">
        <v>23</v>
      </c>
      <c r="L51">
        <v>2</v>
      </c>
      <c r="M51">
        <v>1</v>
      </c>
      <c r="N51" t="s">
        <v>84</v>
      </c>
      <c r="O51" t="s">
        <v>2</v>
      </c>
      <c r="P51">
        <v>1.06</v>
      </c>
      <c r="Q51">
        <v>0</v>
      </c>
      <c r="R51">
        <v>1600</v>
      </c>
      <c r="S51" t="s">
        <v>62</v>
      </c>
      <c r="T51">
        <v>3.6984909616185258</v>
      </c>
      <c r="U51">
        <v>15.080026104595301</v>
      </c>
      <c r="V51">
        <v>31.640619999999899</v>
      </c>
      <c r="W51">
        <v>58.592159938941599</v>
      </c>
      <c r="X51">
        <v>1905.6633906633906</v>
      </c>
      <c r="Y51">
        <v>4488.7171052631575</v>
      </c>
      <c r="Z51" s="76">
        <f t="shared" si="0"/>
        <v>0.53475014876382065</v>
      </c>
      <c r="AA51" s="76">
        <f t="shared" si="1"/>
        <v>0.5616487201891448</v>
      </c>
      <c r="AB51" s="76"/>
      <c r="AC51" s="76">
        <f>U51-U37</f>
        <v>2.3129935243023017</v>
      </c>
      <c r="AD51">
        <f>AA51-AA37</f>
        <v>0.19282716449938309</v>
      </c>
    </row>
    <row r="52" spans="1:31">
      <c r="B52" s="74" t="s">
        <v>183</v>
      </c>
      <c r="C52" t="s">
        <v>216</v>
      </c>
      <c r="D52">
        <v>5</v>
      </c>
      <c r="E52" t="s">
        <v>23</v>
      </c>
      <c r="F52" t="s">
        <v>23</v>
      </c>
      <c r="G52" t="s">
        <v>2</v>
      </c>
      <c r="H52">
        <v>4</v>
      </c>
      <c r="I52">
        <v>5</v>
      </c>
      <c r="J52" t="s">
        <v>23</v>
      </c>
      <c r="K52" t="s">
        <v>23</v>
      </c>
      <c r="L52">
        <v>4</v>
      </c>
      <c r="M52">
        <v>5</v>
      </c>
      <c r="N52" t="s">
        <v>2</v>
      </c>
      <c r="O52" t="s">
        <v>84</v>
      </c>
      <c r="P52">
        <v>1.06</v>
      </c>
      <c r="Q52">
        <v>0</v>
      </c>
      <c r="R52">
        <v>1600</v>
      </c>
      <c r="S52" t="s">
        <v>62</v>
      </c>
      <c r="T52">
        <v>14.861120266677084</v>
      </c>
      <c r="U52">
        <v>45.791110538755881</v>
      </c>
      <c r="V52">
        <v>76.953119999999899</v>
      </c>
      <c r="W52">
        <v>97.265427486095007</v>
      </c>
      <c r="X52">
        <v>2088.8762295082001</v>
      </c>
      <c r="Y52">
        <v>2394.6880658436212</v>
      </c>
      <c r="Z52" s="76">
        <f t="shared" si="0"/>
        <v>0.49002045178022458</v>
      </c>
      <c r="AA52" s="76">
        <f t="shared" si="1"/>
        <v>0.76614374356995885</v>
      </c>
      <c r="AB52" s="76"/>
      <c r="AC52" s="76"/>
    </row>
    <row r="53" spans="1:31">
      <c r="B53" s="74" t="s">
        <v>183</v>
      </c>
      <c r="C53" t="s">
        <v>217</v>
      </c>
      <c r="D53">
        <v>5</v>
      </c>
      <c r="E53" t="s">
        <v>23</v>
      </c>
      <c r="F53" t="s">
        <v>23</v>
      </c>
      <c r="G53" t="s">
        <v>2</v>
      </c>
      <c r="H53">
        <v>4</v>
      </c>
      <c r="I53">
        <v>5</v>
      </c>
      <c r="J53" t="s">
        <v>23</v>
      </c>
      <c r="K53" t="s">
        <v>23</v>
      </c>
      <c r="L53">
        <v>2</v>
      </c>
      <c r="M53">
        <v>5</v>
      </c>
      <c r="N53" t="s">
        <v>2</v>
      </c>
      <c r="O53" t="s">
        <v>84</v>
      </c>
      <c r="P53">
        <v>1.06</v>
      </c>
      <c r="Q53">
        <v>0</v>
      </c>
      <c r="R53">
        <v>1600</v>
      </c>
      <c r="S53" t="s">
        <v>62</v>
      </c>
      <c r="T53">
        <v>10.136769568826436</v>
      </c>
      <c r="U53">
        <v>44.586948945528881</v>
      </c>
      <c r="V53">
        <v>58.984369999999998</v>
      </c>
      <c r="W53">
        <v>100</v>
      </c>
      <c r="X53">
        <v>2072.4422604422602</v>
      </c>
      <c r="Y53">
        <v>5199.0855263157891</v>
      </c>
      <c r="Z53" s="76">
        <f t="shared" si="0"/>
        <v>0.49403265125921381</v>
      </c>
      <c r="AA53" s="76">
        <f t="shared" si="1"/>
        <v>0.49227680407072372</v>
      </c>
      <c r="AB53" s="76"/>
    </row>
    <row r="54" spans="1:31">
      <c r="B54" s="74" t="s">
        <v>183</v>
      </c>
      <c r="C54" t="s">
        <v>218</v>
      </c>
      <c r="D54">
        <v>5</v>
      </c>
      <c r="E54" t="s">
        <v>23</v>
      </c>
      <c r="F54" t="s">
        <v>23</v>
      </c>
      <c r="G54" t="s">
        <v>2</v>
      </c>
      <c r="H54">
        <v>4</v>
      </c>
      <c r="I54">
        <v>5</v>
      </c>
      <c r="J54" t="s">
        <v>23</v>
      </c>
      <c r="K54" t="s">
        <v>23</v>
      </c>
      <c r="L54">
        <v>4</v>
      </c>
      <c r="M54">
        <v>3</v>
      </c>
      <c r="N54" t="s">
        <v>2</v>
      </c>
      <c r="O54" t="s">
        <v>84</v>
      </c>
      <c r="P54">
        <v>1.06</v>
      </c>
      <c r="Q54">
        <v>0</v>
      </c>
      <c r="R54">
        <v>1600</v>
      </c>
      <c r="S54" t="s">
        <v>62</v>
      </c>
      <c r="T54">
        <v>10.495965672131147</v>
      </c>
      <c r="U54">
        <v>41.075714168194359</v>
      </c>
      <c r="V54">
        <v>70.703119999999998</v>
      </c>
      <c r="W54">
        <v>96.874839991807505</v>
      </c>
      <c r="X54">
        <v>2083.5864045864046</v>
      </c>
      <c r="Y54">
        <v>2527.9087171052633</v>
      </c>
      <c r="Z54" s="76">
        <f t="shared" si="0"/>
        <v>0.49131191294277232</v>
      </c>
      <c r="AA54" s="76">
        <f t="shared" si="1"/>
        <v>0.75313391434518917</v>
      </c>
      <c r="AB54" s="76"/>
      <c r="AC54" s="76">
        <f>IF(Values!M7=1,'SRA Data'!AC50,IF(Values!M7=2,'SRA Data'!AC48,IF(Values!M7=3,'SRA Data'!AC46)))</f>
        <v>4.5672730125179122</v>
      </c>
      <c r="AD54" s="76">
        <f>IF(Values!M7=1,'SRA Data'!AD50,IF(Values!M7=2,'SRA Data'!AD48,IF(Values!M7=3,'SRA Data'!AD46)))</f>
        <v>-2.0522589432565685E-2</v>
      </c>
      <c r="AE54" s="89" t="s">
        <v>338</v>
      </c>
    </row>
    <row r="55" spans="1:31">
      <c r="B55" s="74" t="s">
        <v>183</v>
      </c>
      <c r="C55" t="s">
        <v>219</v>
      </c>
      <c r="D55">
        <v>5</v>
      </c>
      <c r="E55" t="s">
        <v>23</v>
      </c>
      <c r="F55" t="s">
        <v>23</v>
      </c>
      <c r="G55" t="s">
        <v>2</v>
      </c>
      <c r="H55">
        <v>4</v>
      </c>
      <c r="I55">
        <v>5</v>
      </c>
      <c r="J55" t="s">
        <v>23</v>
      </c>
      <c r="K55" t="s">
        <v>23</v>
      </c>
      <c r="L55">
        <v>2</v>
      </c>
      <c r="M55">
        <v>3</v>
      </c>
      <c r="N55" t="s">
        <v>2</v>
      </c>
      <c r="O55" t="s">
        <v>84</v>
      </c>
      <c r="P55">
        <v>1.06</v>
      </c>
      <c r="Q55">
        <v>0</v>
      </c>
      <c r="R55">
        <v>1600</v>
      </c>
      <c r="S55" t="s">
        <v>62</v>
      </c>
      <c r="T55">
        <v>10.001600926229507</v>
      </c>
      <c r="U55">
        <v>39.250074386368929</v>
      </c>
      <c r="V55">
        <v>56.25</v>
      </c>
      <c r="W55">
        <v>89.843229973374605</v>
      </c>
      <c r="X55">
        <v>2065.6560196560195</v>
      </c>
      <c r="Y55">
        <v>4541.3922697368425</v>
      </c>
      <c r="Z55" s="76">
        <f t="shared" si="0"/>
        <v>0.49568944832616713</v>
      </c>
      <c r="AA55" s="76">
        <f t="shared" si="1"/>
        <v>0.55650466115851149</v>
      </c>
      <c r="AB55" s="76"/>
      <c r="AC55" s="76">
        <f>IF(Values!M7=1,'SRA Data'!AC51,IF(Values!M7=2,'SRA Data'!AC49,IF(Values!M7=3,'SRA Data'!AC47)))</f>
        <v>7.7322066878634477</v>
      </c>
      <c r="AD55" s="76">
        <f>IF(Values!M7=1,'SRA Data'!AD51,IF(Values!M7=2,'SRA Data'!AD49,IF(Values!M7=3,'SRA Data'!AD47)))</f>
        <v>3.4401261179070719E-2</v>
      </c>
      <c r="AE55" t="s">
        <v>339</v>
      </c>
    </row>
    <row r="56" spans="1:31">
      <c r="B56" s="74" t="s">
        <v>183</v>
      </c>
      <c r="C56" t="s">
        <v>220</v>
      </c>
      <c r="D56">
        <v>5</v>
      </c>
      <c r="E56" t="s">
        <v>23</v>
      </c>
      <c r="F56" t="s">
        <v>23</v>
      </c>
      <c r="G56" t="s">
        <v>2</v>
      </c>
      <c r="H56">
        <v>4</v>
      </c>
      <c r="I56">
        <v>5</v>
      </c>
      <c r="J56" t="s">
        <v>23</v>
      </c>
      <c r="K56" t="s">
        <v>23</v>
      </c>
      <c r="L56">
        <v>4</v>
      </c>
      <c r="M56">
        <v>1</v>
      </c>
      <c r="N56" t="s">
        <v>2</v>
      </c>
      <c r="O56" t="s">
        <v>84</v>
      </c>
      <c r="P56">
        <v>1.06</v>
      </c>
      <c r="Q56">
        <v>0</v>
      </c>
      <c r="R56">
        <v>1600</v>
      </c>
      <c r="S56" t="s">
        <v>62</v>
      </c>
      <c r="T56">
        <v>8.408836192698935</v>
      </c>
      <c r="U56">
        <v>34.371334948351731</v>
      </c>
      <c r="V56">
        <v>51.953119999999998</v>
      </c>
      <c r="W56">
        <v>94.921554979518604</v>
      </c>
      <c r="X56">
        <v>2078.2543209876544</v>
      </c>
      <c r="Y56">
        <v>2432.5313531353136</v>
      </c>
      <c r="Z56" s="76">
        <f t="shared" si="0"/>
        <v>0.49261369116512344</v>
      </c>
      <c r="AA56" s="76">
        <f t="shared" si="1"/>
        <v>0.7624481100453796</v>
      </c>
      <c r="AB56" s="76"/>
      <c r="AC56" s="76"/>
    </row>
    <row r="57" spans="1:31">
      <c r="B57" s="74" t="s">
        <v>183</v>
      </c>
      <c r="C57" t="s">
        <v>221</v>
      </c>
      <c r="D57">
        <v>5</v>
      </c>
      <c r="E57" t="s">
        <v>23</v>
      </c>
      <c r="F57" t="s">
        <v>23</v>
      </c>
      <c r="G57" t="s">
        <v>2</v>
      </c>
      <c r="H57">
        <v>4</v>
      </c>
      <c r="I57">
        <v>5</v>
      </c>
      <c r="J57" t="s">
        <v>23</v>
      </c>
      <c r="K57" t="s">
        <v>23</v>
      </c>
      <c r="L57">
        <v>2</v>
      </c>
      <c r="M57">
        <v>1</v>
      </c>
      <c r="N57" t="s">
        <v>2</v>
      </c>
      <c r="O57" t="s">
        <v>84</v>
      </c>
      <c r="P57">
        <v>1.06</v>
      </c>
      <c r="Q57">
        <v>0</v>
      </c>
      <c r="R57">
        <v>1600</v>
      </c>
      <c r="S57" t="s">
        <v>62</v>
      </c>
      <c r="T57">
        <v>10.112857382643769</v>
      </c>
      <c r="U57">
        <v>39.135887112572263</v>
      </c>
      <c r="V57">
        <v>62.5</v>
      </c>
      <c r="W57">
        <v>99.609307489198201</v>
      </c>
      <c r="X57">
        <v>2065.6265356265358</v>
      </c>
      <c r="Y57">
        <v>4002.1866776315787</v>
      </c>
      <c r="Z57" s="76">
        <f t="shared" si="0"/>
        <v>0.49569664657555279</v>
      </c>
      <c r="AA57" s="76">
        <f t="shared" si="1"/>
        <v>0.60916145726254123</v>
      </c>
      <c r="AB57" s="76"/>
      <c r="AC57" s="76"/>
    </row>
    <row r="58" spans="1:31">
      <c r="M58" t="s">
        <v>86</v>
      </c>
      <c r="AC58" s="90" t="s">
        <v>341</v>
      </c>
    </row>
    <row r="59" spans="1:31">
      <c r="AC59" s="76" t="s">
        <v>168</v>
      </c>
      <c r="AD59" t="s">
        <v>337</v>
      </c>
    </row>
    <row r="60" spans="1:31">
      <c r="AC60">
        <f>U52-U7</f>
        <v>34.513430295353182</v>
      </c>
      <c r="AD60">
        <f>AA52-AA7</f>
        <v>0.24001057770852796</v>
      </c>
    </row>
    <row r="61" spans="1:31">
      <c r="AC61">
        <f>U53-U25</f>
        <v>33.310726531007326</v>
      </c>
      <c r="AD61">
        <f>AA53-AA25</f>
        <v>4.3348372609991803E-2</v>
      </c>
    </row>
    <row r="62" spans="1:31">
      <c r="AC62">
        <f>U54-U13</f>
        <v>25.577861005852068</v>
      </c>
      <c r="AD62">
        <f>AA54-AA13</f>
        <v>0.32671179520456417</v>
      </c>
    </row>
    <row r="63" spans="1:31">
      <c r="AC63">
        <f>U55-U31</f>
        <v>24.910333743605591</v>
      </c>
      <c r="AD63">
        <f>AA55-AA31</f>
        <v>0.1634708605314556</v>
      </c>
    </row>
    <row r="64" spans="1:31">
      <c r="AC64">
        <f>U56-U19</f>
        <v>14.30868032742497</v>
      </c>
      <c r="AD64">
        <f>AA56-AA19</f>
        <v>0.39248688343148158</v>
      </c>
    </row>
    <row r="65" spans="10:30">
      <c r="AC65">
        <f>U57-U37</f>
        <v>26.368854532279265</v>
      </c>
      <c r="AD65">
        <f>AA57-AA37</f>
        <v>0.24033990157277951</v>
      </c>
    </row>
    <row r="68" spans="10:30">
      <c r="J68" s="65"/>
    </row>
  </sheetData>
  <mergeCells count="14">
    <mergeCell ref="V2:W2"/>
    <mergeCell ref="X2:Y2"/>
    <mergeCell ref="Z2:AA2"/>
    <mergeCell ref="AB2:AC2"/>
    <mergeCell ref="C1:C3"/>
    <mergeCell ref="D1:G2"/>
    <mergeCell ref="H1:O1"/>
    <mergeCell ref="P1:Q1"/>
    <mergeCell ref="R1:S1"/>
    <mergeCell ref="T1:AC1"/>
    <mergeCell ref="H2:K2"/>
    <mergeCell ref="L2:O2"/>
    <mergeCell ref="R2:S2"/>
    <mergeCell ref="T2:U2"/>
  </mergeCells>
  <pageMargins left="0.7" right="0.7" top="0.75" bottom="0.75" header="0.3" footer="0.3"/>
  <pageSetup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sheetPr codeName="Sheet14"/>
  <dimension ref="A1:AG29"/>
  <sheetViews>
    <sheetView workbookViewId="0">
      <selection activeCell="AG36" sqref="AG36"/>
    </sheetView>
  </sheetViews>
  <sheetFormatPr defaultRowHeight="15"/>
  <cols>
    <col min="5" max="5" width="11.42578125" customWidth="1"/>
    <col min="6" max="6" width="12.5703125" customWidth="1"/>
    <col min="7" max="7" width="10.7109375" customWidth="1"/>
    <col min="9" max="9" width="11.7109375" customWidth="1"/>
    <col min="10" max="10" width="12.7109375" customWidth="1"/>
    <col min="12" max="12" width="12.7109375" customWidth="1"/>
    <col min="13" max="13" width="12.5703125" customWidth="1"/>
    <col min="14" max="14" width="15.28515625" customWidth="1"/>
    <col min="15" max="15" width="12" customWidth="1"/>
  </cols>
  <sheetData>
    <row r="1" spans="1:33">
      <c r="C1" s="186" t="s">
        <v>38</v>
      </c>
      <c r="D1" s="172" t="s">
        <v>26</v>
      </c>
      <c r="E1" s="179"/>
      <c r="F1" s="179"/>
      <c r="G1" s="179"/>
      <c r="H1" s="172" t="s">
        <v>39</v>
      </c>
      <c r="I1" s="173"/>
      <c r="J1" s="174"/>
      <c r="K1" s="173" t="s">
        <v>40</v>
      </c>
      <c r="L1" s="173"/>
      <c r="M1" s="173"/>
      <c r="N1" s="173"/>
      <c r="O1" s="174"/>
      <c r="P1" s="182" t="s">
        <v>27</v>
      </c>
      <c r="Q1" s="182"/>
      <c r="R1" s="182" t="s">
        <v>28</v>
      </c>
      <c r="S1" s="182"/>
      <c r="T1" s="188" t="s">
        <v>205</v>
      </c>
      <c r="U1" s="189"/>
      <c r="V1" s="189"/>
      <c r="W1" s="189"/>
      <c r="X1" s="189"/>
      <c r="Y1" s="189"/>
      <c r="Z1" s="189"/>
      <c r="AA1" s="189"/>
      <c r="AB1" s="189"/>
      <c r="AC1" s="189"/>
      <c r="AD1" s="189"/>
      <c r="AE1" s="189"/>
      <c r="AF1" s="189"/>
      <c r="AG1" s="190"/>
    </row>
    <row r="2" spans="1:33">
      <c r="C2" s="187"/>
      <c r="D2" s="180"/>
      <c r="E2" s="181"/>
      <c r="F2" s="181"/>
      <c r="G2" s="181"/>
      <c r="H2" s="191"/>
      <c r="I2" s="192"/>
      <c r="J2" s="193"/>
      <c r="K2" s="192"/>
      <c r="L2" s="192"/>
      <c r="M2" s="192"/>
      <c r="N2" s="192"/>
      <c r="O2" s="193"/>
      <c r="P2" s="87" t="s">
        <v>29</v>
      </c>
      <c r="Q2" s="87" t="s">
        <v>30</v>
      </c>
      <c r="R2" s="183" t="s">
        <v>31</v>
      </c>
      <c r="S2" s="183"/>
      <c r="T2" s="184" t="s">
        <v>34</v>
      </c>
      <c r="U2" s="194"/>
      <c r="V2" s="194"/>
      <c r="W2" s="185"/>
      <c r="X2" s="184" t="s">
        <v>206</v>
      </c>
      <c r="Y2" s="194"/>
      <c r="Z2" s="194"/>
      <c r="AA2" s="185"/>
      <c r="AB2" s="184" t="s">
        <v>207</v>
      </c>
      <c r="AC2" s="194"/>
      <c r="AD2" s="194"/>
      <c r="AE2" s="185"/>
      <c r="AF2" s="183"/>
      <c r="AG2" s="183"/>
    </row>
    <row r="3" spans="1:33" ht="45">
      <c r="B3" t="s">
        <v>182</v>
      </c>
      <c r="C3" s="187"/>
      <c r="D3" s="72" t="s">
        <v>11</v>
      </c>
      <c r="E3" s="73" t="s">
        <v>12</v>
      </c>
      <c r="F3" s="73" t="s">
        <v>13</v>
      </c>
      <c r="G3" s="73" t="s">
        <v>1</v>
      </c>
      <c r="H3" s="73" t="s">
        <v>11</v>
      </c>
      <c r="I3" s="73" t="s">
        <v>0</v>
      </c>
      <c r="J3" s="73" t="s">
        <v>21</v>
      </c>
      <c r="K3" s="73" t="s">
        <v>11</v>
      </c>
      <c r="L3" s="73" t="s">
        <v>0</v>
      </c>
      <c r="M3" s="73" t="s">
        <v>21</v>
      </c>
      <c r="N3" s="73" t="s">
        <v>19</v>
      </c>
      <c r="O3" s="73" t="s">
        <v>20</v>
      </c>
      <c r="P3" s="73" t="s">
        <v>14</v>
      </c>
      <c r="Q3" s="73" t="s">
        <v>14</v>
      </c>
      <c r="R3" s="73" t="s">
        <v>32</v>
      </c>
      <c r="S3" s="73" t="s">
        <v>33</v>
      </c>
      <c r="T3" s="73" t="s">
        <v>26</v>
      </c>
      <c r="U3" s="73" t="s">
        <v>39</v>
      </c>
      <c r="V3" s="73" t="s">
        <v>222</v>
      </c>
      <c r="W3" s="73" t="s">
        <v>223</v>
      </c>
      <c r="X3" s="73" t="s">
        <v>26</v>
      </c>
      <c r="Y3" s="73" t="s">
        <v>39</v>
      </c>
      <c r="Z3" s="73" t="s">
        <v>222</v>
      </c>
      <c r="AA3" s="73" t="s">
        <v>223</v>
      </c>
      <c r="AB3" s="73" t="s">
        <v>26</v>
      </c>
      <c r="AC3" s="73" t="s">
        <v>39</v>
      </c>
      <c r="AD3" s="73" t="s">
        <v>222</v>
      </c>
      <c r="AE3" s="73" t="s">
        <v>223</v>
      </c>
      <c r="AF3" s="73"/>
      <c r="AG3" s="73"/>
    </row>
    <row r="4" spans="1:33">
      <c r="B4" s="77" t="s">
        <v>183</v>
      </c>
      <c r="C4" t="s">
        <v>87</v>
      </c>
      <c r="D4" s="14" t="s">
        <v>35</v>
      </c>
      <c r="E4" s="12" t="s">
        <v>35</v>
      </c>
      <c r="F4" s="12" t="s">
        <v>35</v>
      </c>
      <c r="G4" s="12" t="s">
        <v>35</v>
      </c>
      <c r="H4" s="12" t="s">
        <v>35</v>
      </c>
      <c r="I4" s="12" t="s">
        <v>35</v>
      </c>
      <c r="J4" s="12" t="s">
        <v>35</v>
      </c>
      <c r="K4" s="12" t="s">
        <v>35</v>
      </c>
      <c r="L4" s="12" t="s">
        <v>35</v>
      </c>
      <c r="M4" s="12" t="s">
        <v>35</v>
      </c>
      <c r="N4" s="12" t="s">
        <v>35</v>
      </c>
      <c r="O4" s="12" t="s">
        <v>35</v>
      </c>
      <c r="P4" s="75">
        <v>0</v>
      </c>
      <c r="Q4" s="12">
        <v>0</v>
      </c>
      <c r="R4" s="12">
        <v>2000</v>
      </c>
      <c r="S4" s="12" t="s">
        <v>42</v>
      </c>
      <c r="T4">
        <v>7.5405474683544291E-2</v>
      </c>
      <c r="U4">
        <v>0.42659372093701686</v>
      </c>
      <c r="V4">
        <v>0.68163128727860089</v>
      </c>
      <c r="W4">
        <v>0.55829631855357942</v>
      </c>
      <c r="X4">
        <v>3.90625</v>
      </c>
      <c r="Y4">
        <v>25.777449805429999</v>
      </c>
      <c r="Z4">
        <v>24.995679751153599</v>
      </c>
      <c r="AA4">
        <v>0.80030767499364897</v>
      </c>
      <c r="AB4">
        <v>2930.6214511041007</v>
      </c>
      <c r="AC4">
        <v>2860.1514195583595</v>
      </c>
      <c r="AD4">
        <v>564.05993690851733</v>
      </c>
      <c r="AE4">
        <v>499.21052631578948</v>
      </c>
    </row>
    <row r="5" spans="1:33">
      <c r="B5" s="77" t="s">
        <v>183</v>
      </c>
      <c r="C5" t="s">
        <v>93</v>
      </c>
      <c r="D5" s="14"/>
      <c r="E5" s="12"/>
      <c r="F5" s="12"/>
      <c r="G5" s="12"/>
      <c r="H5" s="12"/>
      <c r="I5" s="12"/>
      <c r="J5" s="12"/>
      <c r="K5" s="12"/>
      <c r="L5" s="12"/>
      <c r="M5" s="12"/>
      <c r="N5" s="12"/>
      <c r="O5" s="12"/>
      <c r="P5" s="75">
        <v>2.65</v>
      </c>
      <c r="Q5" s="12"/>
      <c r="R5" s="12"/>
      <c r="S5" s="12" t="s">
        <v>62</v>
      </c>
      <c r="T5">
        <v>0.39730776568650078</v>
      </c>
      <c r="U5">
        <v>4.5675281934229082</v>
      </c>
      <c r="V5">
        <v>5.3815736024786878</v>
      </c>
      <c r="W5">
        <v>5.3645634464548184</v>
      </c>
      <c r="X5">
        <v>25.390619999999899</v>
      </c>
      <c r="Y5">
        <v>36.3252673719782</v>
      </c>
      <c r="Z5">
        <v>33.980999827191098</v>
      </c>
      <c r="AA5">
        <v>45.308299677415199</v>
      </c>
      <c r="AB5">
        <v>2754.1813765182187</v>
      </c>
      <c r="AC5">
        <v>2595.4502829426033</v>
      </c>
      <c r="AD5">
        <v>1226.1192214111923</v>
      </c>
      <c r="AE5">
        <v>1177.0753646677472</v>
      </c>
    </row>
    <row r="6" spans="1:33">
      <c r="B6" s="77" t="s">
        <v>183</v>
      </c>
      <c r="C6" t="s">
        <v>88</v>
      </c>
      <c r="D6">
        <v>5</v>
      </c>
      <c r="E6" t="s">
        <v>23</v>
      </c>
      <c r="F6" t="s">
        <v>23</v>
      </c>
      <c r="G6" t="s">
        <v>2</v>
      </c>
      <c r="H6">
        <v>5</v>
      </c>
      <c r="I6" t="s">
        <v>23</v>
      </c>
      <c r="J6" t="s">
        <v>23</v>
      </c>
      <c r="K6">
        <v>5</v>
      </c>
      <c r="L6" t="s">
        <v>23</v>
      </c>
      <c r="M6" t="s">
        <v>23</v>
      </c>
      <c r="N6" t="s">
        <v>2</v>
      </c>
      <c r="O6" t="s">
        <v>2</v>
      </c>
      <c r="P6" s="65">
        <v>0</v>
      </c>
      <c r="Q6">
        <v>0</v>
      </c>
      <c r="R6">
        <v>2000</v>
      </c>
      <c r="S6" t="s">
        <v>42</v>
      </c>
      <c r="T6">
        <v>6.922468354430375E-2</v>
      </c>
      <c r="U6">
        <v>0.55847903716467584</v>
      </c>
      <c r="V6">
        <v>0.48394445747923037</v>
      </c>
      <c r="W6">
        <v>0.14560952627296955</v>
      </c>
      <c r="X6">
        <v>3.125</v>
      </c>
      <c r="Y6">
        <v>28.511959812342301</v>
      </c>
      <c r="Z6">
        <v>24.995679751153599</v>
      </c>
      <c r="AA6">
        <v>0.98261250925398802</v>
      </c>
      <c r="AB6">
        <v>2916.615141955836</v>
      </c>
      <c r="AC6">
        <v>2820.6088328075712</v>
      </c>
      <c r="AD6">
        <v>652.40378548895899</v>
      </c>
      <c r="AE6">
        <v>725.21052631578948</v>
      </c>
    </row>
    <row r="7" spans="1:33">
      <c r="A7" s="77" t="s">
        <v>183</v>
      </c>
      <c r="B7" s="77" t="s">
        <v>183</v>
      </c>
      <c r="C7" t="s">
        <v>94</v>
      </c>
      <c r="P7" s="65">
        <v>2.65</v>
      </c>
      <c r="S7" t="s">
        <v>62</v>
      </c>
      <c r="T7">
        <v>9.0771405492730199</v>
      </c>
      <c r="U7">
        <v>16.075868900211148</v>
      </c>
      <c r="V7">
        <v>19.53454723234379</v>
      </c>
      <c r="W7">
        <v>7.1844700341419205</v>
      </c>
      <c r="X7">
        <v>38.28125</v>
      </c>
      <c r="Y7">
        <v>100</v>
      </c>
      <c r="Z7">
        <v>74.998239898618095</v>
      </c>
      <c r="AA7">
        <v>49.997119834102399</v>
      </c>
      <c r="AB7">
        <v>1862.1928974979821</v>
      </c>
      <c r="AC7">
        <v>1707.8410008071025</v>
      </c>
      <c r="AD7">
        <v>731.500403551251</v>
      </c>
      <c r="AE7">
        <v>604.34061488673137</v>
      </c>
    </row>
    <row r="8" spans="1:33">
      <c r="B8" s="77" t="s">
        <v>183</v>
      </c>
      <c r="C8" t="s">
        <v>91</v>
      </c>
      <c r="D8">
        <v>5</v>
      </c>
      <c r="E8" t="s">
        <v>23</v>
      </c>
      <c r="F8" t="s">
        <v>23</v>
      </c>
      <c r="G8" t="s">
        <v>2</v>
      </c>
      <c r="H8">
        <v>3</v>
      </c>
      <c r="I8" t="s">
        <v>23</v>
      </c>
      <c r="J8" t="s">
        <v>23</v>
      </c>
      <c r="K8">
        <v>5</v>
      </c>
      <c r="L8" t="s">
        <v>23</v>
      </c>
      <c r="M8" t="s">
        <v>23</v>
      </c>
      <c r="N8" t="s">
        <v>2</v>
      </c>
      <c r="O8" t="s">
        <v>2</v>
      </c>
      <c r="P8" s="65">
        <v>0</v>
      </c>
      <c r="Q8">
        <v>0</v>
      </c>
      <c r="R8">
        <v>2000</v>
      </c>
      <c r="S8" t="s">
        <v>42</v>
      </c>
      <c r="T8">
        <v>6.5516234177215124E-2</v>
      </c>
      <c r="U8">
        <v>0.402715524098124</v>
      </c>
      <c r="V8">
        <v>0.51470429886634794</v>
      </c>
      <c r="W8">
        <v>8.3339841826773939E-2</v>
      </c>
      <c r="X8">
        <v>3.51561999999999</v>
      </c>
      <c r="Y8">
        <v>26.558739807478101</v>
      </c>
      <c r="Z8">
        <v>26.167627255329901</v>
      </c>
      <c r="AA8">
        <v>0.27943833912573701</v>
      </c>
      <c r="AB8">
        <v>2905.6656151419556</v>
      </c>
      <c r="AC8">
        <v>2817.1798107255522</v>
      </c>
      <c r="AD8">
        <v>624.07570977917976</v>
      </c>
      <c r="AE8">
        <v>711.63157894736844</v>
      </c>
    </row>
    <row r="9" spans="1:33">
      <c r="A9" s="74" t="s">
        <v>183</v>
      </c>
      <c r="B9" s="77" t="s">
        <v>183</v>
      </c>
      <c r="C9" t="s">
        <v>103</v>
      </c>
      <c r="P9" s="65">
        <v>2.65</v>
      </c>
      <c r="S9" t="s">
        <v>62</v>
      </c>
      <c r="T9">
        <v>10.548859533996104</v>
      </c>
      <c r="U9">
        <v>15.337413599528599</v>
      </c>
      <c r="V9">
        <v>7.3518336616138988</v>
      </c>
      <c r="W9">
        <v>7.130681767129837</v>
      </c>
      <c r="X9">
        <v>52.734379999999902</v>
      </c>
      <c r="Y9">
        <v>100</v>
      </c>
      <c r="Z9">
        <v>100</v>
      </c>
      <c r="AA9">
        <v>64.059739788015705</v>
      </c>
      <c r="AB9">
        <v>1733.0982142857142</v>
      </c>
      <c r="AC9">
        <v>2238.3841166936791</v>
      </c>
      <c r="AD9">
        <v>263.78652597402595</v>
      </c>
      <c r="AE9">
        <v>232.13371150729336</v>
      </c>
    </row>
    <row r="10" spans="1:33">
      <c r="B10" s="77" t="s">
        <v>183</v>
      </c>
      <c r="C10" t="s">
        <v>92</v>
      </c>
      <c r="D10">
        <v>5</v>
      </c>
      <c r="E10" t="s">
        <v>23</v>
      </c>
      <c r="F10" t="s">
        <v>23</v>
      </c>
      <c r="G10" t="s">
        <v>2</v>
      </c>
      <c r="H10">
        <v>1</v>
      </c>
      <c r="I10" t="s">
        <v>23</v>
      </c>
      <c r="J10" t="s">
        <v>23</v>
      </c>
      <c r="K10">
        <v>5</v>
      </c>
      <c r="L10" t="s">
        <v>23</v>
      </c>
      <c r="M10" t="s">
        <v>23</v>
      </c>
      <c r="N10" t="s">
        <v>2</v>
      </c>
      <c r="O10" t="s">
        <v>2</v>
      </c>
      <c r="P10" s="65">
        <v>0</v>
      </c>
      <c r="Q10">
        <v>0</v>
      </c>
      <c r="R10">
        <v>2000</v>
      </c>
      <c r="S10" t="s">
        <v>42</v>
      </c>
      <c r="T10">
        <v>7.0460822784810098E-2</v>
      </c>
      <c r="U10">
        <v>0.5423919793301003</v>
      </c>
      <c r="V10">
        <v>0.51225007522458499</v>
      </c>
      <c r="W10">
        <v>0.12530976637287158</v>
      </c>
      <c r="X10">
        <v>3.90625</v>
      </c>
      <c r="Y10">
        <v>24.9961598033819</v>
      </c>
      <c r="Z10">
        <v>25.776974753745801</v>
      </c>
      <c r="AA10">
        <v>0.22735133886758699</v>
      </c>
      <c r="AB10">
        <v>2903.4321766561516</v>
      </c>
      <c r="AC10">
        <v>2835.3501577287066</v>
      </c>
      <c r="AD10">
        <v>619.84858044164037</v>
      </c>
      <c r="AE10">
        <v>712.16666666666663</v>
      </c>
    </row>
    <row r="11" spans="1:33">
      <c r="A11" s="74" t="s">
        <v>183</v>
      </c>
      <c r="B11" s="77" t="s">
        <v>183</v>
      </c>
      <c r="C11" t="s">
        <v>104</v>
      </c>
      <c r="P11" s="65">
        <v>2.65</v>
      </c>
      <c r="S11" t="s">
        <v>62</v>
      </c>
      <c r="T11">
        <v>9.6863151468414621</v>
      </c>
      <c r="U11">
        <v>11.667954881814996</v>
      </c>
      <c r="V11">
        <v>6.5156915552490702</v>
      </c>
      <c r="W11">
        <v>6.8657585775662389</v>
      </c>
      <c r="X11">
        <v>57.8125</v>
      </c>
      <c r="Y11">
        <v>62.106702311842703</v>
      </c>
      <c r="Z11">
        <v>51.563739968256797</v>
      </c>
      <c r="AA11">
        <v>34.369959612898199</v>
      </c>
      <c r="AB11">
        <v>1742.1909385113267</v>
      </c>
      <c r="AC11">
        <v>2391.5447941888619</v>
      </c>
      <c r="AD11">
        <v>276.39305891848267</v>
      </c>
      <c r="AE11">
        <v>349.02348178137652</v>
      </c>
    </row>
    <row r="12" spans="1:33">
      <c r="B12" s="77" t="s">
        <v>183</v>
      </c>
      <c r="C12" t="s">
        <v>89</v>
      </c>
      <c r="D12">
        <v>5</v>
      </c>
      <c r="E12" t="s">
        <v>23</v>
      </c>
      <c r="F12" t="s">
        <v>23</v>
      </c>
      <c r="G12" t="s">
        <v>2</v>
      </c>
      <c r="H12">
        <v>5</v>
      </c>
      <c r="I12" t="s">
        <v>23</v>
      </c>
      <c r="J12" t="s">
        <v>23</v>
      </c>
      <c r="K12">
        <v>3</v>
      </c>
      <c r="L12" t="s">
        <v>23</v>
      </c>
      <c r="M12" t="s">
        <v>23</v>
      </c>
      <c r="N12" t="s">
        <v>2</v>
      </c>
      <c r="O12" t="s">
        <v>2</v>
      </c>
      <c r="P12" s="65">
        <v>0</v>
      </c>
      <c r="Q12">
        <v>0</v>
      </c>
      <c r="R12">
        <v>2000</v>
      </c>
      <c r="S12" t="s">
        <v>42</v>
      </c>
      <c r="T12">
        <v>2.8431550632911348E-2</v>
      </c>
      <c r="U12">
        <v>0.11721991471167124</v>
      </c>
      <c r="V12">
        <v>5.1517981668840369E-2</v>
      </c>
      <c r="W12">
        <v>7.04019467737549E-2</v>
      </c>
      <c r="X12">
        <v>0.78125</v>
      </c>
      <c r="Y12">
        <v>27.336309238065901</v>
      </c>
      <c r="Z12">
        <v>1.94685459869431</v>
      </c>
      <c r="AA12">
        <v>0.198752413565039</v>
      </c>
      <c r="AB12">
        <v>2904.2271293375393</v>
      </c>
      <c r="AC12">
        <v>2820.8548895899053</v>
      </c>
      <c r="AD12">
        <v>622.70347003154575</v>
      </c>
      <c r="AE12">
        <v>711.05555555555554</v>
      </c>
    </row>
    <row r="13" spans="1:33">
      <c r="A13" s="74" t="s">
        <v>183</v>
      </c>
      <c r="B13" s="77" t="s">
        <v>183</v>
      </c>
      <c r="C13" t="s">
        <v>95</v>
      </c>
      <c r="P13" s="65">
        <v>2.65</v>
      </c>
      <c r="S13" t="s">
        <v>62</v>
      </c>
      <c r="T13">
        <v>7.5852539578685532</v>
      </c>
      <c r="U13">
        <v>15.262089362551615</v>
      </c>
      <c r="V13">
        <v>6.5175961274809397</v>
      </c>
      <c r="W13">
        <v>6.6592352594595994</v>
      </c>
      <c r="X13">
        <v>46.09375</v>
      </c>
      <c r="Y13">
        <v>99.218694996127695</v>
      </c>
      <c r="Z13">
        <v>40.231702380266597</v>
      </c>
      <c r="AA13">
        <v>34.369959612898199</v>
      </c>
      <c r="AB13">
        <v>1743.3042776432608</v>
      </c>
      <c r="AC13">
        <v>1727.0193704600483</v>
      </c>
      <c r="AD13">
        <v>504.40112994350284</v>
      </c>
      <c r="AE13">
        <v>518.28894269572231</v>
      </c>
    </row>
    <row r="14" spans="1:33">
      <c r="B14" s="77" t="s">
        <v>183</v>
      </c>
      <c r="C14" t="s">
        <v>90</v>
      </c>
      <c r="D14">
        <v>5</v>
      </c>
      <c r="E14" t="s">
        <v>23</v>
      </c>
      <c r="F14" t="s">
        <v>23</v>
      </c>
      <c r="G14" t="s">
        <v>2</v>
      </c>
      <c r="H14">
        <v>5</v>
      </c>
      <c r="I14" t="s">
        <v>23</v>
      </c>
      <c r="J14" t="s">
        <v>23</v>
      </c>
      <c r="K14">
        <v>1</v>
      </c>
      <c r="L14" t="s">
        <v>23</v>
      </c>
      <c r="M14" t="s">
        <v>23</v>
      </c>
      <c r="N14" t="s">
        <v>2</v>
      </c>
      <c r="O14" t="s">
        <v>2</v>
      </c>
      <c r="P14" s="65">
        <v>0</v>
      </c>
      <c r="Q14">
        <v>0</v>
      </c>
      <c r="R14">
        <v>2000</v>
      </c>
      <c r="S14" t="s">
        <v>42</v>
      </c>
      <c r="T14">
        <v>6.679161643560369E-2</v>
      </c>
      <c r="U14">
        <v>0.44334632074689795</v>
      </c>
      <c r="V14">
        <v>0.64675061329343153</v>
      </c>
      <c r="W14">
        <v>0.16447188429132709</v>
      </c>
      <c r="X14">
        <v>3.5156299999999998</v>
      </c>
      <c r="Y14">
        <v>26.167627255329901</v>
      </c>
      <c r="Z14">
        <v>27.730207259938101</v>
      </c>
      <c r="AA14">
        <v>1.7639175131262499</v>
      </c>
      <c r="AB14">
        <v>2908.186119873817</v>
      </c>
      <c r="AC14">
        <v>2800.801261829653</v>
      </c>
      <c r="AD14">
        <v>615.19242902208202</v>
      </c>
      <c r="AE14">
        <v>712.55</v>
      </c>
    </row>
    <row r="15" spans="1:33">
      <c r="A15" s="74" t="s">
        <v>183</v>
      </c>
      <c r="B15" s="77" t="s">
        <v>183</v>
      </c>
      <c r="C15" t="s">
        <v>96</v>
      </c>
      <c r="P15" s="65">
        <v>2.65</v>
      </c>
      <c r="S15" t="s">
        <v>62</v>
      </c>
      <c r="T15">
        <v>9.9864620748576076</v>
      </c>
      <c r="U15">
        <v>16.853562533125242</v>
      </c>
      <c r="V15">
        <v>6.5740790796493576</v>
      </c>
      <c r="W15">
        <v>7.0895235074603482</v>
      </c>
      <c r="X15">
        <v>68.359369999999998</v>
      </c>
      <c r="Y15">
        <v>94.921522475182201</v>
      </c>
      <c r="Z15">
        <v>42.574812309188999</v>
      </c>
      <c r="AA15">
        <v>53.121399723498698</v>
      </c>
      <c r="AB15">
        <v>1733.2691056910569</v>
      </c>
      <c r="AC15">
        <v>1780.7747163695301</v>
      </c>
      <c r="AD15">
        <v>574.62388302193335</v>
      </c>
      <c r="AE15">
        <v>578.78084415584419</v>
      </c>
    </row>
    <row r="16" spans="1:33">
      <c r="A16" s="74" t="s">
        <v>183</v>
      </c>
      <c r="B16" s="77" t="s">
        <v>183</v>
      </c>
      <c r="C16" t="s">
        <v>97</v>
      </c>
      <c r="D16">
        <v>5</v>
      </c>
      <c r="E16" t="s">
        <v>23</v>
      </c>
      <c r="F16" t="s">
        <v>23</v>
      </c>
      <c r="G16" t="s">
        <v>2</v>
      </c>
      <c r="H16">
        <v>5</v>
      </c>
      <c r="I16" t="s">
        <v>2</v>
      </c>
      <c r="J16" t="s">
        <v>23</v>
      </c>
      <c r="K16">
        <v>5</v>
      </c>
      <c r="L16" t="s">
        <v>23</v>
      </c>
      <c r="M16" t="s">
        <v>23</v>
      </c>
      <c r="N16" t="s">
        <v>2</v>
      </c>
      <c r="O16" t="s">
        <v>2</v>
      </c>
      <c r="P16" s="65">
        <v>2.65</v>
      </c>
      <c r="Q16">
        <v>0</v>
      </c>
      <c r="R16">
        <v>2000</v>
      </c>
      <c r="S16" t="s">
        <v>62</v>
      </c>
      <c r="T16">
        <v>9.6937494791907053</v>
      </c>
      <c r="U16">
        <v>18.486399983696064</v>
      </c>
      <c r="V16">
        <v>7.6354678579806405</v>
      </c>
      <c r="W16">
        <v>6.6736956283018607</v>
      </c>
      <c r="X16">
        <v>67.1875</v>
      </c>
      <c r="Y16">
        <v>100</v>
      </c>
      <c r="Z16">
        <v>79.837419272252703</v>
      </c>
      <c r="AA16">
        <v>35.932169556506999</v>
      </c>
      <c r="AB16">
        <v>1735.996771589992</v>
      </c>
      <c r="AC16">
        <v>1708.2033898305085</v>
      </c>
      <c r="AD16">
        <v>882.60940032414908</v>
      </c>
      <c r="AE16">
        <v>528.29230769230765</v>
      </c>
    </row>
    <row r="17" spans="1:31">
      <c r="A17" s="74" t="s">
        <v>183</v>
      </c>
      <c r="B17" s="77" t="s">
        <v>183</v>
      </c>
      <c r="C17" t="s">
        <v>105</v>
      </c>
      <c r="D17">
        <v>5</v>
      </c>
      <c r="E17" t="s">
        <v>23</v>
      </c>
      <c r="F17" t="s">
        <v>23</v>
      </c>
      <c r="G17" t="s">
        <v>2</v>
      </c>
      <c r="H17">
        <v>1</v>
      </c>
      <c r="I17" t="s">
        <v>2</v>
      </c>
      <c r="J17" t="s">
        <v>23</v>
      </c>
      <c r="K17">
        <v>5</v>
      </c>
      <c r="L17" t="s">
        <v>23</v>
      </c>
      <c r="M17" t="s">
        <v>23</v>
      </c>
      <c r="N17" t="s">
        <v>2</v>
      </c>
      <c r="O17" t="s">
        <v>2</v>
      </c>
      <c r="P17" s="65">
        <v>2.65</v>
      </c>
      <c r="Q17">
        <v>0</v>
      </c>
      <c r="R17">
        <v>2000</v>
      </c>
      <c r="S17" t="s">
        <v>62</v>
      </c>
      <c r="T17">
        <v>13.586757274533937</v>
      </c>
      <c r="U17">
        <v>12.885645389594631</v>
      </c>
      <c r="V17">
        <v>6.4692986708656939</v>
      </c>
      <c r="W17">
        <v>6.5176056399312685</v>
      </c>
      <c r="X17">
        <v>62.5</v>
      </c>
      <c r="Y17">
        <v>82.811729965502394</v>
      </c>
      <c r="Z17">
        <v>39.058599750383998</v>
      </c>
      <c r="AA17">
        <v>34.7606196155864</v>
      </c>
      <c r="AB17">
        <v>1738.1291364003227</v>
      </c>
      <c r="AC17">
        <v>2341.9096045197739</v>
      </c>
      <c r="AD17">
        <v>795.77320419693297</v>
      </c>
      <c r="AE17">
        <v>461.32849071832123</v>
      </c>
    </row>
    <row r="18" spans="1:31">
      <c r="A18" s="74" t="s">
        <v>183</v>
      </c>
      <c r="B18" s="77" t="s">
        <v>183</v>
      </c>
      <c r="C18" t="s">
        <v>98</v>
      </c>
      <c r="D18">
        <v>5</v>
      </c>
      <c r="E18" t="s">
        <v>23</v>
      </c>
      <c r="F18" t="s">
        <v>23</v>
      </c>
      <c r="G18" t="s">
        <v>2</v>
      </c>
      <c r="H18">
        <v>5</v>
      </c>
      <c r="I18" t="s">
        <v>23</v>
      </c>
      <c r="J18" t="s">
        <v>22</v>
      </c>
      <c r="K18">
        <v>5</v>
      </c>
      <c r="L18" t="s">
        <v>23</v>
      </c>
      <c r="M18" t="s">
        <v>23</v>
      </c>
      <c r="N18" t="s">
        <v>2</v>
      </c>
      <c r="O18" t="s">
        <v>2</v>
      </c>
      <c r="P18" s="65">
        <v>2.65</v>
      </c>
      <c r="Q18">
        <v>0</v>
      </c>
      <c r="R18">
        <v>2000</v>
      </c>
      <c r="S18" t="s">
        <v>62</v>
      </c>
      <c r="T18">
        <v>6.2057783018867836</v>
      </c>
      <c r="U18">
        <v>52.504750745361036</v>
      </c>
      <c r="V18">
        <v>9.8993673690353994</v>
      </c>
      <c r="W18">
        <v>8.2408211619034919</v>
      </c>
      <c r="X18">
        <v>21.484369999999899</v>
      </c>
      <c r="Y18">
        <v>89.614582092212302</v>
      </c>
      <c r="Z18">
        <v>25.776499695980501</v>
      </c>
      <c r="AA18">
        <v>49.996159705065303</v>
      </c>
      <c r="AB18">
        <v>1719.8703703703704</v>
      </c>
      <c r="AC18">
        <v>1805.82</v>
      </c>
      <c r="AD18">
        <v>810.18604651162786</v>
      </c>
      <c r="AE18">
        <v>460.15789473684208</v>
      </c>
    </row>
    <row r="19" spans="1:31">
      <c r="A19" s="74" t="s">
        <v>183</v>
      </c>
      <c r="B19" s="74" t="s">
        <v>183</v>
      </c>
      <c r="C19" t="s">
        <v>106</v>
      </c>
      <c r="D19">
        <v>5</v>
      </c>
      <c r="E19" t="s">
        <v>23</v>
      </c>
      <c r="F19" t="s">
        <v>23</v>
      </c>
      <c r="G19" t="s">
        <v>2</v>
      </c>
      <c r="H19">
        <v>1</v>
      </c>
      <c r="I19" t="s">
        <v>23</v>
      </c>
      <c r="J19" t="s">
        <v>2</v>
      </c>
      <c r="K19">
        <v>5</v>
      </c>
      <c r="L19" t="s">
        <v>23</v>
      </c>
      <c r="M19" t="s">
        <v>23</v>
      </c>
      <c r="N19" t="s">
        <v>2</v>
      </c>
      <c r="O19" t="s">
        <v>2</v>
      </c>
      <c r="P19" s="65">
        <v>2.65</v>
      </c>
      <c r="Q19">
        <v>0</v>
      </c>
      <c r="R19">
        <v>2000</v>
      </c>
      <c r="S19" t="s">
        <v>62</v>
      </c>
      <c r="T19">
        <v>8.3890215251451181</v>
      </c>
      <c r="U19">
        <v>11.090905227677029</v>
      </c>
      <c r="V19">
        <v>6.3114252903441495</v>
      </c>
      <c r="W19">
        <v>7.3241469062968028</v>
      </c>
      <c r="X19">
        <v>39.0625</v>
      </c>
      <c r="Y19">
        <v>60.153189764973902</v>
      </c>
      <c r="Z19">
        <v>37.4955996902181</v>
      </c>
      <c r="AA19">
        <v>74.997439770603407</v>
      </c>
      <c r="AB19">
        <v>1752.4389652384803</v>
      </c>
      <c r="AC19">
        <v>2322.596448748991</v>
      </c>
      <c r="AD19">
        <v>763.48103309120256</v>
      </c>
      <c r="AE19">
        <v>525.04119547657513</v>
      </c>
    </row>
    <row r="20" spans="1:31">
      <c r="A20" s="74" t="s">
        <v>183</v>
      </c>
      <c r="B20" s="77" t="s">
        <v>183</v>
      </c>
      <c r="C20" t="s">
        <v>99</v>
      </c>
      <c r="D20">
        <v>5</v>
      </c>
      <c r="E20" t="s">
        <v>23</v>
      </c>
      <c r="F20" t="s">
        <v>23</v>
      </c>
      <c r="G20" t="s">
        <v>2</v>
      </c>
      <c r="H20">
        <v>5</v>
      </c>
      <c r="I20" t="s">
        <v>23</v>
      </c>
      <c r="J20" t="s">
        <v>23</v>
      </c>
      <c r="K20">
        <v>5</v>
      </c>
      <c r="L20" t="s">
        <v>2</v>
      </c>
      <c r="M20" t="s">
        <v>23</v>
      </c>
      <c r="N20" t="s">
        <v>2</v>
      </c>
      <c r="O20" t="s">
        <v>2</v>
      </c>
      <c r="P20" s="65">
        <v>2.65</v>
      </c>
      <c r="Q20">
        <v>0</v>
      </c>
      <c r="R20">
        <v>2000</v>
      </c>
      <c r="S20" t="s">
        <v>62</v>
      </c>
      <c r="T20">
        <v>10.6026873027877</v>
      </c>
      <c r="U20">
        <v>24.576172766881342</v>
      </c>
      <c r="V20">
        <v>9.8717384141125084</v>
      </c>
      <c r="W20">
        <v>9.8003426378587335</v>
      </c>
      <c r="X20">
        <v>63.671879999999902</v>
      </c>
      <c r="Y20">
        <v>100</v>
      </c>
      <c r="Z20">
        <v>93.749519963133096</v>
      </c>
      <c r="AA20">
        <v>100</v>
      </c>
      <c r="AB20">
        <v>1730</v>
      </c>
      <c r="AC20">
        <v>1691.9757869249395</v>
      </c>
      <c r="AD20">
        <v>782.59046849757669</v>
      </c>
      <c r="AE20">
        <v>671.63371150729336</v>
      </c>
    </row>
    <row r="21" spans="1:31">
      <c r="A21" s="77" t="s">
        <v>183</v>
      </c>
      <c r="B21" s="77" t="s">
        <v>183</v>
      </c>
      <c r="C21" t="s">
        <v>100</v>
      </c>
      <c r="D21">
        <v>5</v>
      </c>
      <c r="E21" t="s">
        <v>23</v>
      </c>
      <c r="F21" t="s">
        <v>23</v>
      </c>
      <c r="G21" t="s">
        <v>2</v>
      </c>
      <c r="H21">
        <v>5</v>
      </c>
      <c r="I21" t="s">
        <v>23</v>
      </c>
      <c r="J21" t="s">
        <v>23</v>
      </c>
      <c r="K21">
        <v>1</v>
      </c>
      <c r="L21" t="s">
        <v>2</v>
      </c>
      <c r="M21" t="s">
        <v>23</v>
      </c>
      <c r="N21" t="s">
        <v>2</v>
      </c>
      <c r="O21" t="s">
        <v>2</v>
      </c>
      <c r="P21" s="65">
        <v>2.65</v>
      </c>
      <c r="Q21">
        <v>0</v>
      </c>
      <c r="R21">
        <v>2000</v>
      </c>
      <c r="S21" t="s">
        <v>62</v>
      </c>
      <c r="T21">
        <v>13.804208979495886</v>
      </c>
      <c r="U21">
        <v>21.175538813862762</v>
      </c>
      <c r="V21">
        <v>6.3138902938954606</v>
      </c>
      <c r="W21">
        <v>6.860350305052715</v>
      </c>
      <c r="X21">
        <v>49.609369999999899</v>
      </c>
      <c r="Y21">
        <v>100</v>
      </c>
      <c r="Z21">
        <v>41.404374939998</v>
      </c>
      <c r="AA21">
        <v>58.725932265622703</v>
      </c>
      <c r="AB21">
        <v>1730.0008090614888</v>
      </c>
      <c r="AC21">
        <v>1752.8111380145278</v>
      </c>
      <c r="AD21">
        <v>872.94502829426028</v>
      </c>
      <c r="AE21">
        <v>976.86117836965298</v>
      </c>
    </row>
    <row r="22" spans="1:31">
      <c r="B22" s="77" t="s">
        <v>183</v>
      </c>
      <c r="C22" t="s">
        <v>101</v>
      </c>
      <c r="D22">
        <v>5</v>
      </c>
      <c r="E22" t="s">
        <v>23</v>
      </c>
      <c r="F22" t="s">
        <v>23</v>
      </c>
      <c r="G22" t="s">
        <v>2</v>
      </c>
      <c r="H22">
        <v>5</v>
      </c>
      <c r="I22" t="s">
        <v>23</v>
      </c>
      <c r="J22" t="s">
        <v>23</v>
      </c>
      <c r="K22">
        <v>5</v>
      </c>
      <c r="L22" t="s">
        <v>23</v>
      </c>
      <c r="M22" t="s">
        <v>22</v>
      </c>
      <c r="N22" t="s">
        <v>2</v>
      </c>
      <c r="O22" t="s">
        <v>2</v>
      </c>
      <c r="P22" s="65">
        <v>2.65</v>
      </c>
      <c r="Q22">
        <v>0</v>
      </c>
      <c r="R22">
        <v>2000</v>
      </c>
      <c r="S22" t="s">
        <v>62</v>
      </c>
      <c r="T22">
        <v>11.756910392752408</v>
      </c>
      <c r="U22">
        <v>19.680007216009738</v>
      </c>
      <c r="V22">
        <v>7.5113263036135738</v>
      </c>
      <c r="W22">
        <v>9.5409103634833325</v>
      </c>
      <c r="X22">
        <v>76.171880000000002</v>
      </c>
      <c r="Y22">
        <v>100</v>
      </c>
      <c r="Z22">
        <v>58.200454829108999</v>
      </c>
      <c r="AA22">
        <v>100</v>
      </c>
      <c r="AB22">
        <v>1734.7266828872669</v>
      </c>
      <c r="AC22">
        <v>1748.1580226904375</v>
      </c>
      <c r="AD22">
        <v>775.29197080291976</v>
      </c>
      <c r="AE22">
        <v>732.23352318958507</v>
      </c>
    </row>
    <row r="23" spans="1:31">
      <c r="B23" s="77" t="s">
        <v>183</v>
      </c>
      <c r="C23" t="s">
        <v>102</v>
      </c>
      <c r="D23">
        <v>5</v>
      </c>
      <c r="E23" t="s">
        <v>23</v>
      </c>
      <c r="F23" t="s">
        <v>23</v>
      </c>
      <c r="G23" t="s">
        <v>2</v>
      </c>
      <c r="H23">
        <v>5</v>
      </c>
      <c r="I23" t="s">
        <v>23</v>
      </c>
      <c r="J23" t="s">
        <v>23</v>
      </c>
      <c r="K23">
        <v>1</v>
      </c>
      <c r="L23" t="s">
        <v>23</v>
      </c>
      <c r="M23" t="s">
        <v>2</v>
      </c>
      <c r="N23" t="s">
        <v>2</v>
      </c>
      <c r="O23" t="s">
        <v>2</v>
      </c>
      <c r="P23" s="65">
        <v>2.65</v>
      </c>
      <c r="Q23">
        <v>0</v>
      </c>
      <c r="R23">
        <v>2000</v>
      </c>
      <c r="S23" t="s">
        <v>62</v>
      </c>
      <c r="T23">
        <v>12.352422542118623</v>
      </c>
      <c r="U23">
        <v>18.357010034425716</v>
      </c>
      <c r="V23">
        <v>6.3624103176167734</v>
      </c>
      <c r="W23">
        <v>6.9034803304605417</v>
      </c>
      <c r="X23">
        <v>87.5</v>
      </c>
      <c r="Y23">
        <v>100</v>
      </c>
      <c r="Z23">
        <v>42.574077215035899</v>
      </c>
      <c r="AA23">
        <v>38.667159637860102</v>
      </c>
      <c r="AB23">
        <v>1740.2558514931395</v>
      </c>
      <c r="AC23">
        <v>1742.4697336561744</v>
      </c>
      <c r="AD23">
        <v>798.02017756255043</v>
      </c>
      <c r="AE23">
        <v>852.15819209039546</v>
      </c>
    </row>
    <row r="24" spans="1:31">
      <c r="C24" t="s">
        <v>107</v>
      </c>
      <c r="D24">
        <v>5</v>
      </c>
      <c r="E24" t="s">
        <v>23</v>
      </c>
      <c r="F24" t="s">
        <v>23</v>
      </c>
      <c r="G24" t="s">
        <v>2</v>
      </c>
      <c r="H24">
        <v>5</v>
      </c>
      <c r="I24" t="s">
        <v>23</v>
      </c>
      <c r="J24" t="s">
        <v>23</v>
      </c>
      <c r="K24">
        <v>5</v>
      </c>
      <c r="L24" t="s">
        <v>23</v>
      </c>
      <c r="M24" t="s">
        <v>23</v>
      </c>
      <c r="N24" t="s">
        <v>84</v>
      </c>
      <c r="O24" t="s">
        <v>2</v>
      </c>
      <c r="P24" s="65">
        <v>2.65</v>
      </c>
      <c r="Q24">
        <v>0</v>
      </c>
      <c r="R24">
        <v>2000</v>
      </c>
      <c r="S24" t="s">
        <v>62</v>
      </c>
      <c r="T24">
        <v>9.4225155757567727</v>
      </c>
      <c r="U24">
        <v>15.371618295531174</v>
      </c>
      <c r="V24">
        <v>11.802890523029065</v>
      </c>
      <c r="W24">
        <v>11.169388331543979</v>
      </c>
      <c r="X24">
        <v>54.6875</v>
      </c>
      <c r="Y24">
        <v>74.992477737303304</v>
      </c>
      <c r="Z24">
        <v>98.827924966714406</v>
      </c>
      <c r="AA24">
        <v>100</v>
      </c>
      <c r="AB24">
        <v>2002.8878127522196</v>
      </c>
      <c r="AC24">
        <v>1777.7804681194511</v>
      </c>
      <c r="AD24">
        <v>713.68765133171917</v>
      </c>
      <c r="AE24">
        <v>665.12267958030668</v>
      </c>
    </row>
    <row r="25" spans="1:31">
      <c r="C25" t="s">
        <v>108</v>
      </c>
      <c r="D25">
        <v>5</v>
      </c>
      <c r="E25" t="s">
        <v>23</v>
      </c>
      <c r="F25" t="s">
        <v>23</v>
      </c>
      <c r="G25" t="s">
        <v>2</v>
      </c>
      <c r="H25">
        <v>5</v>
      </c>
      <c r="I25" t="s">
        <v>23</v>
      </c>
      <c r="J25" t="s">
        <v>23</v>
      </c>
      <c r="K25">
        <v>3</v>
      </c>
      <c r="L25" t="s">
        <v>23</v>
      </c>
      <c r="M25" t="s">
        <v>23</v>
      </c>
      <c r="N25" t="s">
        <v>84</v>
      </c>
      <c r="O25" t="s">
        <v>2</v>
      </c>
      <c r="P25" s="65">
        <v>2.65</v>
      </c>
      <c r="Q25">
        <v>0</v>
      </c>
      <c r="R25">
        <v>2000</v>
      </c>
      <c r="S25" t="s">
        <v>62</v>
      </c>
      <c r="T25">
        <v>12.202741068320391</v>
      </c>
      <c r="U25">
        <v>19.901944973066392</v>
      </c>
      <c r="V25">
        <v>10.463608062909922</v>
      </c>
      <c r="W25">
        <v>9.9970414436381319</v>
      </c>
      <c r="X25">
        <v>83.59375</v>
      </c>
      <c r="Y25">
        <v>92.187049974078505</v>
      </c>
      <c r="Z25">
        <v>64.059049668768196</v>
      </c>
      <c r="AA25">
        <v>60.539303546280799</v>
      </c>
      <c r="AB25">
        <v>2011.7788539144472</v>
      </c>
      <c r="AC25">
        <v>1771.1702986279258</v>
      </c>
      <c r="AD25">
        <v>998.27522195318807</v>
      </c>
      <c r="AE25">
        <v>962.63841807909603</v>
      </c>
    </row>
    <row r="26" spans="1:31">
      <c r="C26" t="s">
        <v>109</v>
      </c>
      <c r="D26">
        <v>5</v>
      </c>
      <c r="E26" t="s">
        <v>23</v>
      </c>
      <c r="F26" t="s">
        <v>23</v>
      </c>
      <c r="G26" t="s">
        <v>2</v>
      </c>
      <c r="H26">
        <v>5</v>
      </c>
      <c r="I26" t="s">
        <v>23</v>
      </c>
      <c r="J26" t="s">
        <v>23</v>
      </c>
      <c r="K26">
        <v>1</v>
      </c>
      <c r="L26" t="s">
        <v>23</v>
      </c>
      <c r="M26" t="s">
        <v>23</v>
      </c>
      <c r="N26" t="s">
        <v>23</v>
      </c>
      <c r="O26" t="s">
        <v>2</v>
      </c>
      <c r="P26" s="65">
        <v>2.65</v>
      </c>
      <c r="Q26">
        <v>0</v>
      </c>
      <c r="R26">
        <v>2000</v>
      </c>
      <c r="S26" t="s">
        <v>62</v>
      </c>
      <c r="T26">
        <v>9.6969414443174475</v>
      </c>
      <c r="U26">
        <v>16.013308229587551</v>
      </c>
      <c r="V26">
        <v>9.3583284146685628</v>
      </c>
      <c r="W26">
        <v>8.6062690225034633</v>
      </c>
      <c r="X26">
        <v>53.90625</v>
      </c>
      <c r="Y26">
        <v>86.718069965182195</v>
      </c>
      <c r="Z26">
        <v>49.997119834102399</v>
      </c>
      <c r="AA26">
        <v>41.012222304004702</v>
      </c>
      <c r="AB26">
        <v>2000.9031476997579</v>
      </c>
      <c r="AC26">
        <v>1757.6828087167071</v>
      </c>
      <c r="AD26">
        <v>1089.0944309927361</v>
      </c>
      <c r="AE26">
        <v>1046.5302663438256</v>
      </c>
    </row>
    <row r="27" spans="1:31">
      <c r="B27" s="77" t="s">
        <v>183</v>
      </c>
      <c r="C27" t="s">
        <v>110</v>
      </c>
      <c r="D27">
        <v>5</v>
      </c>
      <c r="E27" t="s">
        <v>23</v>
      </c>
      <c r="F27" t="s">
        <v>23</v>
      </c>
      <c r="G27" t="s">
        <v>2</v>
      </c>
      <c r="H27">
        <v>5</v>
      </c>
      <c r="I27" t="s">
        <v>23</v>
      </c>
      <c r="J27" t="s">
        <v>23</v>
      </c>
      <c r="K27">
        <v>5</v>
      </c>
      <c r="L27" t="s">
        <v>23</v>
      </c>
      <c r="M27" t="s">
        <v>23</v>
      </c>
      <c r="N27" t="s">
        <v>2</v>
      </c>
      <c r="O27" t="s">
        <v>84</v>
      </c>
      <c r="P27" s="65">
        <v>2.65</v>
      </c>
      <c r="Q27">
        <v>0</v>
      </c>
      <c r="R27">
        <v>2000</v>
      </c>
      <c r="S27" t="s">
        <v>62</v>
      </c>
      <c r="T27">
        <v>13.409443713355051</v>
      </c>
      <c r="U27">
        <v>4.0619959548319408E-2</v>
      </c>
      <c r="V27">
        <v>30.961046337067337</v>
      </c>
      <c r="W27">
        <v>24.964157695763507</v>
      </c>
      <c r="X27">
        <v>85.9375</v>
      </c>
      <c r="Y27">
        <v>4.6877700155528901</v>
      </c>
      <c r="Z27">
        <v>98.046767493807593</v>
      </c>
      <c r="AA27">
        <v>66.794532335076298</v>
      </c>
      <c r="AB27">
        <v>1924.0065093572009</v>
      </c>
      <c r="AC27">
        <v>1538.0827922077922</v>
      </c>
      <c r="AD27">
        <v>708.6079869600652</v>
      </c>
      <c r="AE27">
        <v>626.9959250203749</v>
      </c>
    </row>
    <row r="28" spans="1:31">
      <c r="B28" s="77" t="s">
        <v>183</v>
      </c>
      <c r="C28" t="s">
        <v>111</v>
      </c>
      <c r="D28">
        <v>5</v>
      </c>
      <c r="E28" t="s">
        <v>23</v>
      </c>
      <c r="F28" t="s">
        <v>23</v>
      </c>
      <c r="G28" t="s">
        <v>2</v>
      </c>
      <c r="H28">
        <v>5</v>
      </c>
      <c r="I28" t="s">
        <v>23</v>
      </c>
      <c r="J28" t="s">
        <v>23</v>
      </c>
      <c r="K28">
        <v>3</v>
      </c>
      <c r="L28" t="s">
        <v>23</v>
      </c>
      <c r="M28" t="s">
        <v>23</v>
      </c>
      <c r="N28" t="s">
        <v>2</v>
      </c>
      <c r="O28" t="s">
        <v>84</v>
      </c>
      <c r="P28" s="65">
        <v>2.65</v>
      </c>
      <c r="Q28">
        <v>0</v>
      </c>
      <c r="R28">
        <v>2000</v>
      </c>
      <c r="S28" t="s">
        <v>62</v>
      </c>
      <c r="T28">
        <v>23.5931958360406</v>
      </c>
      <c r="U28">
        <v>5.1750226404616753E-2</v>
      </c>
      <c r="V28">
        <v>24.798618729417839</v>
      </c>
      <c r="W28">
        <v>22.823758877242433</v>
      </c>
      <c r="X28">
        <v>98.015878095237994</v>
      </c>
      <c r="Y28">
        <v>12.5008000512032</v>
      </c>
      <c r="Z28">
        <v>54.6845998143881</v>
      </c>
      <c r="AA28">
        <v>53.902709728107098</v>
      </c>
      <c r="AB28">
        <v>1656.0605326876514</v>
      </c>
      <c r="AC28">
        <v>1543.769168684423</v>
      </c>
      <c r="AD28">
        <v>405.4523424878837</v>
      </c>
      <c r="AE28">
        <v>616.01292407108235</v>
      </c>
    </row>
    <row r="29" spans="1:31">
      <c r="B29" s="77" t="s">
        <v>183</v>
      </c>
      <c r="C29" t="s">
        <v>112</v>
      </c>
      <c r="D29">
        <v>5</v>
      </c>
      <c r="E29" t="s">
        <v>23</v>
      </c>
      <c r="F29" t="s">
        <v>23</v>
      </c>
      <c r="G29" t="s">
        <v>2</v>
      </c>
      <c r="H29">
        <v>5</v>
      </c>
      <c r="I29" t="s">
        <v>23</v>
      </c>
      <c r="J29" t="s">
        <v>23</v>
      </c>
      <c r="K29">
        <v>1</v>
      </c>
      <c r="L29" t="s">
        <v>23</v>
      </c>
      <c r="M29" t="s">
        <v>23</v>
      </c>
      <c r="N29" t="s">
        <v>2</v>
      </c>
      <c r="O29" t="s">
        <v>84</v>
      </c>
      <c r="P29" s="65">
        <v>2.65</v>
      </c>
      <c r="Q29">
        <v>0</v>
      </c>
      <c r="R29">
        <v>2000</v>
      </c>
      <c r="S29" t="s">
        <v>62</v>
      </c>
      <c r="T29">
        <v>15.906465775792038</v>
      </c>
      <c r="U29">
        <v>22.254988718086409</v>
      </c>
      <c r="V29">
        <v>26.032541693776491</v>
      </c>
      <c r="W29">
        <v>24.180727861931238</v>
      </c>
      <c r="X29">
        <v>82.03125</v>
      </c>
      <c r="Y29">
        <v>85.155204926426805</v>
      </c>
      <c r="Z29">
        <v>74.998079877112104</v>
      </c>
      <c r="AA29">
        <v>69.528909820274094</v>
      </c>
      <c r="AB29">
        <v>1942.75</v>
      </c>
      <c r="AC29">
        <v>1527.8404858299596</v>
      </c>
      <c r="AD29">
        <v>895.84995944849959</v>
      </c>
      <c r="AE29">
        <v>642.15665584415581</v>
      </c>
    </row>
  </sheetData>
  <mergeCells count="12">
    <mergeCell ref="T1:AG1"/>
    <mergeCell ref="T2:W2"/>
    <mergeCell ref="X2:AA2"/>
    <mergeCell ref="AB2:AE2"/>
    <mergeCell ref="AF2:AG2"/>
    <mergeCell ref="R1:S1"/>
    <mergeCell ref="R2:S2"/>
    <mergeCell ref="P1:Q1"/>
    <mergeCell ref="C1:C3"/>
    <mergeCell ref="D1:G2"/>
    <mergeCell ref="H1:J2"/>
    <mergeCell ref="K1:O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sheetPr codeName="Sheet3"/>
  <dimension ref="B46:J51"/>
  <sheetViews>
    <sheetView showGridLines="0" showRowColHeaders="0" zoomScaleNormal="100" workbookViewId="0"/>
  </sheetViews>
  <sheetFormatPr defaultColWidth="9.140625" defaultRowHeight="15"/>
  <cols>
    <col min="1" max="16384" width="9.140625" style="1"/>
  </cols>
  <sheetData>
    <row r="46" spans="2:10">
      <c r="B46" s="2"/>
      <c r="C46" s="2"/>
      <c r="D46" s="2" t="s">
        <v>525</v>
      </c>
      <c r="E46" s="2"/>
      <c r="F46" s="2" t="s">
        <v>527</v>
      </c>
      <c r="G46" s="2"/>
      <c r="H46" s="2" t="s">
        <v>529</v>
      </c>
      <c r="I46" s="2"/>
      <c r="J46" s="2" t="s">
        <v>531</v>
      </c>
    </row>
    <row r="47" spans="2:10">
      <c r="B47" s="2" t="s">
        <v>33</v>
      </c>
      <c r="C47" s="2"/>
      <c r="D47" s="2" t="s">
        <v>526</v>
      </c>
      <c r="E47" s="2"/>
      <c r="F47" s="2" t="s">
        <v>528</v>
      </c>
      <c r="G47" s="2"/>
      <c r="H47" s="2" t="s">
        <v>530</v>
      </c>
      <c r="I47" s="2"/>
      <c r="J47" s="2" t="s">
        <v>532</v>
      </c>
    </row>
    <row r="48" spans="2:10">
      <c r="B48" s="16" t="s">
        <v>522</v>
      </c>
      <c r="D48" s="69" t="s">
        <v>533</v>
      </c>
      <c r="E48" s="82"/>
      <c r="F48" s="82" t="s">
        <v>537</v>
      </c>
      <c r="G48" s="82"/>
      <c r="H48" s="82">
        <v>0.11</v>
      </c>
      <c r="I48" s="82"/>
      <c r="J48" s="82">
        <v>6</v>
      </c>
    </row>
    <row r="49" spans="2:10">
      <c r="B49" s="16" t="s">
        <v>62</v>
      </c>
      <c r="D49" s="69" t="s">
        <v>534</v>
      </c>
      <c r="E49" s="82"/>
      <c r="F49" s="82" t="s">
        <v>538</v>
      </c>
      <c r="G49" s="82"/>
      <c r="H49" s="82">
        <v>0.18</v>
      </c>
      <c r="I49" s="82"/>
      <c r="J49" s="82">
        <v>12</v>
      </c>
    </row>
    <row r="50" spans="2:10">
      <c r="B50" s="16" t="s">
        <v>523</v>
      </c>
      <c r="D50" s="69" t="s">
        <v>535</v>
      </c>
      <c r="E50" s="82"/>
      <c r="F50" s="82" t="s">
        <v>539</v>
      </c>
      <c r="G50" s="82"/>
      <c r="H50" s="82">
        <v>0.32</v>
      </c>
      <c r="I50" s="82"/>
      <c r="J50" s="82">
        <v>24</v>
      </c>
    </row>
    <row r="51" spans="2:10">
      <c r="B51" s="16" t="s">
        <v>524</v>
      </c>
      <c r="D51" s="69" t="s">
        <v>536</v>
      </c>
      <c r="E51" s="82"/>
      <c r="F51" s="82" t="s">
        <v>539</v>
      </c>
      <c r="G51" s="82"/>
      <c r="H51" s="82">
        <v>0.48</v>
      </c>
      <c r="I51" s="82"/>
      <c r="J51" s="82">
        <v>36</v>
      </c>
    </row>
  </sheetData>
  <sheetProtection password="C456" sheet="1" objects="1" scenarios="1"/>
  <pageMargins left="0.7" right="0.7" top="0.75" bottom="0.75" header="0.3" footer="0.3"/>
  <pageSetup orientation="portrait" horizontalDpi="300" verticalDpi="300" r:id="rId1"/>
  <drawing r:id="rId2"/>
  <legacyDrawing r:id="rId3"/>
  <oleObjects>
    <oleObject progId="Visio.Drawing.11" shapeId="8198" r:id="rId4"/>
    <oleObject progId="Visio.Drawing.11" shapeId="8199" r:id="rId5"/>
  </oleObjects>
</worksheet>
</file>

<file path=xl/worksheets/sheet3.xml><?xml version="1.0" encoding="utf-8"?>
<worksheet xmlns="http://schemas.openxmlformats.org/spreadsheetml/2006/main" xmlns:r="http://schemas.openxmlformats.org/officeDocument/2006/relationships">
  <sheetPr codeName="Sheet4"/>
  <dimension ref="B13:H23"/>
  <sheetViews>
    <sheetView showGridLines="0" showRowColHeaders="0" workbookViewId="0">
      <selection activeCell="F17" sqref="F17"/>
    </sheetView>
  </sheetViews>
  <sheetFormatPr defaultColWidth="9.140625" defaultRowHeight="15"/>
  <cols>
    <col min="1" max="3" width="9.140625" style="1"/>
    <col min="4" max="4" width="20.42578125" style="1" bestFit="1" customWidth="1"/>
    <col min="5" max="5" width="4.7109375" style="1" customWidth="1"/>
    <col min="6" max="6" width="24.28515625" style="1" bestFit="1" customWidth="1"/>
    <col min="7" max="7" width="9.140625" style="1"/>
    <col min="8" max="8" width="9.140625" style="1" customWidth="1"/>
    <col min="9" max="16384" width="9.140625" style="1"/>
  </cols>
  <sheetData>
    <row r="13" spans="2:6">
      <c r="D13" s="2" t="s">
        <v>152</v>
      </c>
      <c r="F13" s="2" t="s">
        <v>153</v>
      </c>
    </row>
    <row r="14" spans="2:6">
      <c r="B14" s="2" t="s">
        <v>580</v>
      </c>
      <c r="D14" s="139">
        <v>0.75</v>
      </c>
      <c r="F14" s="139">
        <v>0.75</v>
      </c>
    </row>
    <row r="16" spans="2:6">
      <c r="C16" s="19"/>
      <c r="D16" s="30"/>
      <c r="F16" s="153" t="str">
        <f>IF(F14&lt;50%,"Error! Memory utilization must be higher than 50%.",IF(F17&lt;50%,"Error! Memory utilization must be higher than 50%.",IF(F19&lt;50%,"Error! Memory utilization must be higher than 50%.",IF(F21&lt;50%,"Error! Memory utilization must be higher than 50%.",IF(F23&lt;50%,"Error! Memory utilization must be higher than 50%.","")))))</f>
        <v/>
      </c>
    </row>
    <row r="17" spans="2:8">
      <c r="B17" s="2" t="s">
        <v>579</v>
      </c>
      <c r="C17" s="15"/>
      <c r="D17" s="139">
        <f>D14</f>
        <v>0.75</v>
      </c>
      <c r="F17" s="139">
        <f>F14</f>
        <v>0.75</v>
      </c>
      <c r="H17" s="1" t="s">
        <v>574</v>
      </c>
    </row>
    <row r="18" spans="2:8">
      <c r="B18" s="3"/>
      <c r="C18" s="20"/>
      <c r="D18" s="31"/>
      <c r="H18" s="1" t="s">
        <v>575</v>
      </c>
    </row>
    <row r="19" spans="2:8">
      <c r="B19" s="2" t="s">
        <v>578</v>
      </c>
      <c r="C19" s="19"/>
      <c r="D19" s="139">
        <f>D14</f>
        <v>0.75</v>
      </c>
      <c r="F19" s="139">
        <f>F14</f>
        <v>0.75</v>
      </c>
    </row>
    <row r="21" spans="2:8">
      <c r="B21" s="2" t="s">
        <v>577</v>
      </c>
      <c r="D21" s="139">
        <f>D14</f>
        <v>0.75</v>
      </c>
      <c r="F21" s="139">
        <f>F14</f>
        <v>0.75</v>
      </c>
    </row>
    <row r="23" spans="2:8">
      <c r="B23" s="2" t="s">
        <v>576</v>
      </c>
      <c r="D23" s="139">
        <f>D14</f>
        <v>0.75</v>
      </c>
      <c r="F23" s="139">
        <f>F14</f>
        <v>0.75</v>
      </c>
    </row>
  </sheetData>
  <sheetProtection password="C456" sheet="1" objects="1" scenarios="1"/>
  <pageMargins left="0.7" right="0.7" top="0.75" bottom="0.75" header="0.3" footer="0.3"/>
  <pageSetup orientation="portrait" horizontalDpi="300" verticalDpi="300" r:id="rId1"/>
  <ignoredErrors>
    <ignoredError sqref="D17 D19 D21 D23 F17 F21 F23 F19" unlockedFormula="1"/>
  </ignoredErrors>
  <drawing r:id="rId2"/>
</worksheet>
</file>

<file path=xl/worksheets/sheet4.xml><?xml version="1.0" encoding="utf-8"?>
<worksheet xmlns="http://schemas.openxmlformats.org/spreadsheetml/2006/main" xmlns:r="http://schemas.openxmlformats.org/officeDocument/2006/relationships">
  <sheetPr codeName="Sheet5"/>
  <dimension ref="G49"/>
  <sheetViews>
    <sheetView showGridLines="0" showRowColHeaders="0" workbookViewId="0"/>
  </sheetViews>
  <sheetFormatPr defaultColWidth="9.140625" defaultRowHeight="15"/>
  <cols>
    <col min="1" max="16384" width="9.140625" style="1"/>
  </cols>
  <sheetData>
    <row r="49" spans="7:7">
      <c r="G49" s="32"/>
    </row>
  </sheetData>
  <sheetProtection password="C456" sheet="1" objects="1" scenarios="1"/>
  <pageMargins left="0.7" right="0.7" top="0.75" bottom="0.75" header="0.3" footer="0.3"/>
  <drawing r:id="rId1"/>
  <legacyDrawing r:id="rId2"/>
  <oleObjects>
    <oleObject progId="Visio.Drawing.11" shapeId="15361" r:id="rId3"/>
    <oleObject progId="Visio.Drawing.11" shapeId="15362" r:id="rId4"/>
  </oleObjects>
</worksheet>
</file>

<file path=xl/worksheets/sheet5.xml><?xml version="1.0" encoding="utf-8"?>
<worksheet xmlns="http://schemas.openxmlformats.org/spreadsheetml/2006/main" xmlns:r="http://schemas.openxmlformats.org/officeDocument/2006/relationships">
  <sheetPr codeName="Sheet1"/>
  <dimension ref="A8:R90"/>
  <sheetViews>
    <sheetView showGridLines="0" showRowColHeaders="0" workbookViewId="0"/>
  </sheetViews>
  <sheetFormatPr defaultColWidth="9.140625" defaultRowHeight="15"/>
  <cols>
    <col min="1" max="1" width="5.28515625" style="1" customWidth="1"/>
    <col min="2" max="2" width="15.140625" style="1" customWidth="1"/>
    <col min="3" max="3" width="2.42578125" style="1" customWidth="1"/>
    <col min="4" max="4" width="21.85546875" style="1" customWidth="1"/>
    <col min="5" max="5" width="2.42578125" style="1" customWidth="1"/>
    <col min="6" max="6" width="16" style="1" customWidth="1"/>
    <col min="7" max="7" width="2.42578125" style="1" customWidth="1"/>
    <col min="8" max="8" width="15.140625" style="1" customWidth="1"/>
    <col min="9" max="9" width="2.42578125" style="1" customWidth="1"/>
    <col min="10" max="10" width="20.140625" style="1" customWidth="1"/>
    <col min="11" max="11" width="2.42578125" style="1" customWidth="1"/>
    <col min="12" max="12" width="15.140625" style="1" customWidth="1"/>
    <col min="13" max="13" width="2.42578125" style="1" customWidth="1"/>
    <col min="14" max="14" width="15.140625" style="1" customWidth="1"/>
    <col min="15" max="15" width="2.42578125" style="1" customWidth="1"/>
    <col min="16" max="16384" width="9.140625" style="1"/>
  </cols>
  <sheetData>
    <row r="8" spans="2:18">
      <c r="R8" s="2"/>
    </row>
    <row r="16" spans="2:18">
      <c r="B16" s="15"/>
      <c r="C16" s="15"/>
      <c r="D16" s="15"/>
      <c r="E16" s="15"/>
      <c r="F16" s="15"/>
      <c r="G16" s="15"/>
      <c r="H16" s="15"/>
      <c r="I16" s="15"/>
      <c r="J16" s="15"/>
      <c r="K16" s="15"/>
      <c r="L16" s="15"/>
      <c r="M16" s="15"/>
      <c r="N16" s="15"/>
    </row>
    <row r="17" spans="2:18">
      <c r="B17" s="15" t="s">
        <v>86</v>
      </c>
      <c r="C17" s="15"/>
      <c r="D17" s="15"/>
      <c r="E17" s="15"/>
      <c r="F17" s="15"/>
      <c r="G17" s="15"/>
      <c r="H17" s="15"/>
      <c r="I17" s="15"/>
      <c r="J17" s="15"/>
      <c r="K17" s="15"/>
      <c r="L17" s="15"/>
      <c r="M17" s="15"/>
      <c r="N17" s="15"/>
    </row>
    <row r="18" spans="2:18" s="3" customFormat="1" ht="18.75">
      <c r="B18" s="15"/>
      <c r="C18" s="37"/>
      <c r="D18" s="40" t="s">
        <v>6</v>
      </c>
      <c r="E18" s="15"/>
      <c r="F18" s="15"/>
      <c r="G18" s="15"/>
      <c r="H18" s="15"/>
      <c r="I18" s="41"/>
      <c r="J18" s="40" t="s">
        <v>7</v>
      </c>
      <c r="K18" s="15"/>
      <c r="L18" s="15"/>
      <c r="M18" s="15"/>
      <c r="N18" s="15"/>
    </row>
    <row r="19" spans="2:18">
      <c r="B19" s="15"/>
      <c r="C19" s="13"/>
      <c r="D19" s="3" t="s">
        <v>595</v>
      </c>
      <c r="E19" s="34"/>
      <c r="F19" s="34"/>
      <c r="G19" s="34"/>
      <c r="H19" s="34"/>
      <c r="I19" s="42"/>
      <c r="J19" s="18" t="s">
        <v>120</v>
      </c>
    </row>
    <row r="20" spans="2:18">
      <c r="B20" s="33"/>
      <c r="C20" s="13"/>
      <c r="D20" s="21" t="s">
        <v>113</v>
      </c>
      <c r="E20" s="15"/>
      <c r="F20" s="1" t="s">
        <v>581</v>
      </c>
      <c r="G20" s="25"/>
      <c r="H20" s="15"/>
      <c r="I20" s="41"/>
      <c r="J20" s="154" t="s">
        <v>597</v>
      </c>
      <c r="K20" s="3"/>
    </row>
    <row r="21" spans="2:18">
      <c r="B21" s="20"/>
      <c r="C21" s="38"/>
      <c r="D21" s="21" t="s">
        <v>594</v>
      </c>
      <c r="E21" s="15"/>
      <c r="F21" s="36">
        <v>4</v>
      </c>
      <c r="G21" s="20"/>
      <c r="H21" s="35"/>
      <c r="I21" s="43"/>
      <c r="J21" s="3" t="s">
        <v>596</v>
      </c>
    </row>
    <row r="22" spans="2:18">
      <c r="B22" s="33"/>
      <c r="C22" s="13"/>
      <c r="D22" s="3" t="s">
        <v>596</v>
      </c>
      <c r="G22" s="15"/>
      <c r="H22" s="25"/>
      <c r="I22" s="41"/>
      <c r="J22" s="21" t="s">
        <v>85</v>
      </c>
      <c r="K22" s="5"/>
      <c r="L22" s="5"/>
      <c r="M22" s="5"/>
      <c r="N22" s="5"/>
      <c r="O22" s="5"/>
      <c r="P22" s="5" t="s">
        <v>86</v>
      </c>
      <c r="Q22" s="5"/>
      <c r="R22" s="5"/>
    </row>
    <row r="23" spans="2:18" s="19" customFormat="1">
      <c r="B23" s="33"/>
      <c r="C23" s="13"/>
      <c r="D23" s="21" t="s">
        <v>85</v>
      </c>
      <c r="E23" s="1"/>
      <c r="F23" s="1"/>
      <c r="G23" s="15"/>
      <c r="H23" s="25"/>
      <c r="I23" s="41"/>
      <c r="J23" s="15"/>
    </row>
    <row r="24" spans="2:18">
      <c r="C24" s="39"/>
      <c r="D24" s="3" t="s">
        <v>583</v>
      </c>
      <c r="I24" s="44"/>
      <c r="J24" s="18" t="s">
        <v>124</v>
      </c>
    </row>
    <row r="25" spans="2:18">
      <c r="C25" s="39"/>
      <c r="D25" s="1" t="s">
        <v>598</v>
      </c>
      <c r="I25" s="44"/>
      <c r="J25" s="3" t="s">
        <v>595</v>
      </c>
    </row>
    <row r="26" spans="2:18">
      <c r="C26" s="39"/>
      <c r="I26" s="44"/>
      <c r="J26" s="21" t="s">
        <v>113</v>
      </c>
      <c r="L26" s="1" t="s">
        <v>582</v>
      </c>
      <c r="M26" s="3"/>
    </row>
    <row r="27" spans="2:18" s="6" customFormat="1">
      <c r="B27" s="1"/>
      <c r="C27" s="1"/>
      <c r="D27" s="1"/>
      <c r="E27" s="1"/>
      <c r="F27" s="1"/>
      <c r="G27" s="1"/>
      <c r="H27" s="1"/>
      <c r="I27" s="44"/>
      <c r="L27" s="1"/>
      <c r="M27" s="1"/>
      <c r="N27" s="1"/>
    </row>
    <row r="28" spans="2:18">
      <c r="I28" s="44"/>
      <c r="J28" s="16" t="s">
        <v>125</v>
      </c>
    </row>
    <row r="29" spans="2:18">
      <c r="I29" s="44"/>
      <c r="J29" s="3" t="s">
        <v>595</v>
      </c>
    </row>
    <row r="30" spans="2:18">
      <c r="I30" s="45"/>
      <c r="J30" s="21" t="s">
        <v>113</v>
      </c>
      <c r="L30" s="1" t="s">
        <v>582</v>
      </c>
    </row>
    <row r="31" spans="2:18">
      <c r="I31" s="44"/>
    </row>
    <row r="32" spans="2:18">
      <c r="I32" s="44"/>
      <c r="J32" s="1" t="s">
        <v>126</v>
      </c>
    </row>
    <row r="33" spans="1:18">
      <c r="I33" s="44"/>
      <c r="J33" s="148" t="s">
        <v>584</v>
      </c>
    </row>
    <row r="35" spans="1:18">
      <c r="A35" s="5"/>
      <c r="B35" s="5"/>
      <c r="C35" s="5"/>
      <c r="D35" s="5"/>
      <c r="E35" s="5"/>
      <c r="F35" s="5"/>
      <c r="G35" s="5"/>
      <c r="H35" s="5"/>
      <c r="I35" s="5"/>
      <c r="K35" s="5"/>
      <c r="L35" s="5"/>
      <c r="M35" s="5"/>
      <c r="N35" s="5"/>
      <c r="O35" s="5"/>
      <c r="P35" s="5"/>
      <c r="Q35" s="5"/>
      <c r="R35" s="5"/>
    </row>
    <row r="36" spans="1:18">
      <c r="F36" s="4"/>
      <c r="G36" s="5"/>
      <c r="H36" s="17"/>
      <c r="I36" s="4"/>
      <c r="M36" s="5"/>
      <c r="N36" s="5"/>
      <c r="O36" s="5"/>
      <c r="P36" s="5"/>
      <c r="Q36" s="5"/>
      <c r="R36" s="5"/>
    </row>
    <row r="37" spans="1:18">
      <c r="G37" s="5"/>
      <c r="H37" s="5"/>
      <c r="P37" s="1" t="s">
        <v>86</v>
      </c>
      <c r="R37" s="18"/>
    </row>
    <row r="38" spans="1:18">
      <c r="R38" s="17"/>
    </row>
    <row r="39" spans="1:18">
      <c r="R39" s="5"/>
    </row>
    <row r="40" spans="1:18">
      <c r="R40" s="17"/>
    </row>
    <row r="41" spans="1:18">
      <c r="C41" s="5"/>
    </row>
    <row r="42" spans="1:18">
      <c r="C42" s="5"/>
    </row>
    <row r="43" spans="1:18">
      <c r="C43" s="5"/>
    </row>
    <row r="47" spans="1:18">
      <c r="M47" s="5"/>
      <c r="N47" s="5"/>
    </row>
    <row r="60" spans="2:16">
      <c r="B60" s="4"/>
      <c r="C60" s="17"/>
      <c r="D60" s="46"/>
      <c r="E60" s="5"/>
      <c r="F60" s="5"/>
      <c r="G60" s="5"/>
      <c r="H60" s="5"/>
      <c r="I60" s="5"/>
      <c r="J60" s="5"/>
      <c r="K60" s="5"/>
      <c r="L60" s="5"/>
      <c r="M60" s="5"/>
      <c r="N60" s="5"/>
      <c r="O60" s="5"/>
      <c r="P60" s="5"/>
    </row>
    <row r="61" spans="2:16">
      <c r="B61" s="5"/>
      <c r="C61" s="5"/>
      <c r="D61" s="5"/>
      <c r="E61" s="5"/>
      <c r="F61" s="5"/>
      <c r="G61" s="5"/>
      <c r="H61" s="5"/>
      <c r="I61" s="5"/>
      <c r="J61" s="5"/>
      <c r="K61" s="5"/>
      <c r="L61" s="5"/>
      <c r="M61" s="5"/>
      <c r="N61" s="5"/>
      <c r="O61" s="5"/>
      <c r="P61" s="5"/>
    </row>
    <row r="62" spans="2:16">
      <c r="B62" s="5"/>
      <c r="C62" s="5"/>
      <c r="D62" s="5"/>
      <c r="E62" s="5"/>
      <c r="F62" s="5"/>
      <c r="G62" s="5"/>
      <c r="H62" s="17"/>
      <c r="I62" s="17"/>
      <c r="J62" s="5"/>
      <c r="K62" s="5"/>
      <c r="L62" s="17"/>
      <c r="M62" s="5"/>
      <c r="N62" s="5"/>
      <c r="O62" s="5"/>
      <c r="P62" s="5"/>
    </row>
    <row r="63" spans="2:16">
      <c r="B63" s="5"/>
      <c r="C63" s="5"/>
      <c r="D63" s="5"/>
      <c r="E63" s="5"/>
      <c r="F63" s="17"/>
      <c r="G63" s="5"/>
      <c r="H63" s="5"/>
      <c r="I63" s="5"/>
      <c r="J63" s="5"/>
      <c r="K63" s="5"/>
      <c r="L63" s="5"/>
      <c r="M63" s="5"/>
      <c r="N63" s="5"/>
      <c r="O63" s="5"/>
      <c r="P63" s="5"/>
    </row>
    <row r="64" spans="2:16">
      <c r="B64" s="5"/>
      <c r="C64" s="5"/>
      <c r="D64" s="5"/>
      <c r="E64" s="5"/>
      <c r="F64" s="5"/>
      <c r="G64" s="5"/>
      <c r="H64" s="5"/>
      <c r="I64" s="5"/>
      <c r="J64" s="5"/>
      <c r="K64" s="5"/>
      <c r="L64" s="5"/>
      <c r="M64" s="5"/>
      <c r="N64" s="5"/>
      <c r="O64" s="5"/>
      <c r="P64" s="5"/>
    </row>
    <row r="65" spans="2:16">
      <c r="B65" s="5"/>
      <c r="C65" s="5"/>
      <c r="D65" s="5"/>
      <c r="E65" s="5"/>
      <c r="F65" s="5"/>
      <c r="G65" s="5"/>
      <c r="H65" s="5"/>
      <c r="I65" s="5"/>
      <c r="J65" s="5"/>
      <c r="K65" s="5"/>
      <c r="L65" s="5"/>
      <c r="M65" s="5"/>
      <c r="N65" s="5"/>
      <c r="O65" s="5"/>
      <c r="P65" s="5"/>
    </row>
    <row r="66" spans="2:16">
      <c r="B66" s="5"/>
      <c r="C66" s="5"/>
      <c r="D66" s="5"/>
      <c r="E66" s="5"/>
      <c r="F66" s="5"/>
      <c r="G66" s="5"/>
      <c r="H66" s="5"/>
      <c r="I66" s="5"/>
      <c r="J66" s="5"/>
      <c r="K66" s="5"/>
      <c r="L66" s="5"/>
      <c r="M66" s="5"/>
      <c r="N66" s="5"/>
      <c r="O66" s="5"/>
      <c r="P66" s="5"/>
    </row>
    <row r="67" spans="2:16">
      <c r="B67" s="5"/>
      <c r="C67" s="5"/>
      <c r="D67" s="5"/>
      <c r="E67" s="5"/>
      <c r="F67" s="5"/>
      <c r="G67" s="5"/>
      <c r="H67" s="5"/>
      <c r="I67" s="5"/>
      <c r="J67" s="5"/>
      <c r="K67" s="5"/>
      <c r="L67" s="5"/>
      <c r="M67" s="5"/>
      <c r="N67" s="5"/>
      <c r="O67" s="5"/>
      <c r="P67" s="5"/>
    </row>
    <row r="68" spans="2:16">
      <c r="B68" s="5"/>
      <c r="C68" s="5"/>
      <c r="D68" s="5"/>
      <c r="E68" s="5"/>
      <c r="F68" s="5"/>
      <c r="G68" s="5"/>
      <c r="H68" s="5"/>
      <c r="I68" s="5"/>
      <c r="J68" s="5"/>
      <c r="K68" s="5"/>
      <c r="L68" s="5"/>
      <c r="M68" s="5"/>
      <c r="N68" s="5"/>
      <c r="O68" s="5"/>
      <c r="P68" s="5"/>
    </row>
    <row r="69" spans="2:16">
      <c r="B69" s="5"/>
      <c r="C69" s="5"/>
      <c r="D69" s="5"/>
      <c r="E69" s="5"/>
      <c r="F69" s="17"/>
      <c r="G69" s="5"/>
      <c r="H69" s="5"/>
      <c r="I69" s="5"/>
      <c r="J69" s="5"/>
      <c r="K69" s="5"/>
      <c r="L69" s="5"/>
      <c r="M69" s="5"/>
      <c r="N69" s="5"/>
      <c r="O69" s="5"/>
      <c r="P69" s="5"/>
    </row>
    <row r="70" spans="2:16">
      <c r="B70" s="5"/>
      <c r="C70" s="5"/>
      <c r="D70" s="5"/>
      <c r="E70" s="5"/>
      <c r="F70" s="18"/>
      <c r="G70" s="5"/>
      <c r="H70" s="5"/>
      <c r="I70" s="5"/>
      <c r="J70" s="5"/>
      <c r="K70" s="5"/>
      <c r="L70" s="5"/>
      <c r="M70" s="5"/>
      <c r="N70" s="5"/>
      <c r="O70" s="5"/>
      <c r="P70" s="5"/>
    </row>
    <row r="71" spans="2:16">
      <c r="B71" s="5"/>
      <c r="C71" s="5"/>
      <c r="D71" s="5"/>
      <c r="E71" s="5"/>
      <c r="F71" s="5"/>
      <c r="G71" s="5"/>
      <c r="H71" s="5"/>
      <c r="I71" s="5"/>
      <c r="J71" s="5"/>
      <c r="K71" s="5"/>
      <c r="L71" s="5"/>
      <c r="M71" s="5"/>
      <c r="N71" s="5"/>
      <c r="O71" s="5"/>
      <c r="P71" s="5"/>
    </row>
    <row r="72" spans="2:16">
      <c r="B72" s="5"/>
      <c r="C72" s="5"/>
      <c r="D72" s="5"/>
      <c r="E72" s="5"/>
      <c r="F72" s="18"/>
      <c r="G72" s="5"/>
      <c r="H72" s="5"/>
      <c r="I72" s="5"/>
      <c r="J72" s="5"/>
      <c r="K72" s="5"/>
      <c r="L72" s="5"/>
      <c r="M72" s="5"/>
      <c r="N72" s="5"/>
      <c r="O72" s="5"/>
      <c r="P72" s="5"/>
    </row>
    <row r="73" spans="2:16">
      <c r="B73" s="5"/>
      <c r="C73" s="5"/>
      <c r="D73" s="5"/>
      <c r="E73" s="5"/>
      <c r="F73" s="5"/>
      <c r="G73" s="5"/>
      <c r="H73" s="5"/>
      <c r="I73" s="5"/>
      <c r="J73" s="5"/>
      <c r="K73" s="5"/>
      <c r="L73" s="5"/>
      <c r="M73" s="5"/>
      <c r="N73" s="5"/>
      <c r="O73" s="5"/>
      <c r="P73" s="5"/>
    </row>
    <row r="74" spans="2:16">
      <c r="B74" s="5"/>
      <c r="C74" s="5"/>
      <c r="D74" s="5"/>
      <c r="E74" s="5"/>
      <c r="F74" s="5"/>
      <c r="G74" s="5"/>
      <c r="H74" s="5"/>
      <c r="I74" s="5"/>
      <c r="J74" s="5"/>
      <c r="K74" s="5"/>
      <c r="L74" s="5"/>
      <c r="M74" s="5"/>
      <c r="N74" s="5"/>
      <c r="O74" s="5"/>
      <c r="P74" s="5"/>
    </row>
    <row r="75" spans="2:16">
      <c r="B75" s="5"/>
      <c r="C75" s="5"/>
      <c r="D75" s="5"/>
      <c r="E75" s="5"/>
      <c r="F75" s="5"/>
      <c r="G75" s="5"/>
      <c r="H75" s="5"/>
      <c r="I75" s="5"/>
      <c r="J75" s="5"/>
      <c r="K75" s="5"/>
      <c r="L75" s="5"/>
      <c r="M75" s="5"/>
      <c r="N75" s="5"/>
      <c r="O75" s="5"/>
      <c r="P75" s="5"/>
    </row>
    <row r="76" spans="2:16">
      <c r="B76" s="5"/>
      <c r="C76" s="5"/>
      <c r="D76" s="5"/>
      <c r="E76" s="5"/>
      <c r="F76" s="5"/>
      <c r="G76" s="5"/>
      <c r="H76" s="5"/>
      <c r="I76" s="5"/>
      <c r="J76" s="5"/>
      <c r="K76" s="5"/>
      <c r="L76" s="5"/>
      <c r="M76" s="5"/>
      <c r="N76" s="5"/>
      <c r="O76" s="5"/>
      <c r="P76" s="5"/>
    </row>
    <row r="77" spans="2:16">
      <c r="B77" s="5"/>
      <c r="C77" s="5"/>
      <c r="D77" s="5"/>
      <c r="E77" s="5"/>
      <c r="F77" s="5"/>
      <c r="G77" s="5"/>
      <c r="H77" s="5"/>
      <c r="I77" s="5"/>
      <c r="J77" s="5"/>
      <c r="K77" s="5"/>
      <c r="L77" s="5"/>
      <c r="M77" s="5"/>
      <c r="N77" s="5"/>
      <c r="O77" s="5"/>
      <c r="P77" s="5"/>
    </row>
    <row r="78" spans="2:16">
      <c r="B78" s="5"/>
      <c r="C78" s="5"/>
      <c r="D78" s="5"/>
      <c r="E78" s="5"/>
      <c r="F78" s="5"/>
      <c r="G78" s="5"/>
      <c r="H78" s="5"/>
      <c r="I78" s="5"/>
      <c r="J78" s="5"/>
      <c r="K78" s="5"/>
      <c r="L78" s="5"/>
      <c r="M78" s="5"/>
      <c r="N78" s="5"/>
      <c r="O78" s="5"/>
      <c r="P78" s="5"/>
    </row>
    <row r="79" spans="2:16">
      <c r="B79" s="5"/>
      <c r="C79" s="5"/>
      <c r="D79" s="5"/>
      <c r="E79" s="5"/>
      <c r="F79" s="5"/>
      <c r="G79" s="5"/>
      <c r="H79" s="5"/>
      <c r="I79" s="5"/>
      <c r="J79" s="5"/>
      <c r="K79" s="5"/>
      <c r="L79" s="5"/>
      <c r="M79" s="5"/>
      <c r="N79" s="5"/>
      <c r="O79" s="5"/>
      <c r="P79" s="5"/>
    </row>
    <row r="80" spans="2:16">
      <c r="B80" s="5"/>
      <c r="C80" s="5"/>
      <c r="D80" s="5"/>
      <c r="E80" s="5"/>
      <c r="F80" s="5"/>
      <c r="G80" s="5"/>
      <c r="H80" s="5"/>
      <c r="I80" s="5"/>
      <c r="J80" s="5"/>
      <c r="K80" s="5"/>
      <c r="L80" s="5"/>
      <c r="M80" s="5"/>
      <c r="N80" s="5"/>
      <c r="O80" s="5"/>
      <c r="P80" s="5"/>
    </row>
    <row r="84" spans="2:14">
      <c r="B84" s="5"/>
      <c r="C84" s="5"/>
      <c r="D84" s="5"/>
      <c r="E84" s="5"/>
      <c r="F84" s="5"/>
      <c r="G84" s="5"/>
      <c r="H84" s="5"/>
      <c r="I84" s="5"/>
      <c r="J84" s="5"/>
      <c r="K84" s="5"/>
      <c r="L84" s="5"/>
      <c r="M84" s="5"/>
      <c r="N84" s="5"/>
    </row>
    <row r="85" spans="2:14">
      <c r="B85" s="5"/>
      <c r="C85" s="5"/>
      <c r="D85" s="157"/>
      <c r="E85" s="5"/>
      <c r="F85" s="155"/>
      <c r="G85" s="155"/>
      <c r="H85" s="155"/>
      <c r="I85" s="5"/>
      <c r="J85" s="156"/>
      <c r="K85" s="156"/>
      <c r="L85" s="156"/>
      <c r="M85" s="156"/>
      <c r="N85" s="156"/>
    </row>
    <row r="86" spans="2:14">
      <c r="B86" s="5"/>
      <c r="C86" s="5"/>
      <c r="D86" s="157"/>
      <c r="E86" s="5"/>
      <c r="F86" s="5"/>
      <c r="G86" s="5"/>
      <c r="H86" s="5"/>
      <c r="I86" s="5"/>
      <c r="J86" s="5"/>
      <c r="K86" s="5"/>
      <c r="L86" s="5"/>
      <c r="M86" s="5"/>
      <c r="N86" s="5"/>
    </row>
    <row r="87" spans="2:14">
      <c r="B87" s="5"/>
      <c r="C87" s="5"/>
      <c r="D87" s="5"/>
      <c r="E87" s="5"/>
      <c r="F87" s="5"/>
      <c r="G87" s="5"/>
      <c r="H87" s="5"/>
      <c r="I87" s="5"/>
      <c r="J87" s="5"/>
      <c r="K87" s="5"/>
      <c r="L87" s="5"/>
      <c r="M87" s="5"/>
      <c r="N87" s="5"/>
    </row>
    <row r="88" spans="2:14">
      <c r="B88" s="5"/>
      <c r="C88" s="5"/>
      <c r="D88" s="5"/>
      <c r="E88" s="5"/>
      <c r="F88" s="5"/>
      <c r="G88" s="5"/>
      <c r="H88" s="5"/>
      <c r="I88" s="5"/>
      <c r="J88" s="5"/>
      <c r="K88" s="5"/>
      <c r="L88" s="5"/>
      <c r="M88" s="5"/>
      <c r="N88" s="5"/>
    </row>
    <row r="89" spans="2:14">
      <c r="B89" s="5"/>
      <c r="C89" s="5"/>
      <c r="D89" s="5"/>
      <c r="E89" s="5"/>
      <c r="F89" s="5"/>
      <c r="G89" s="5"/>
      <c r="H89" s="5"/>
      <c r="I89" s="5"/>
      <c r="J89" s="5"/>
      <c r="K89" s="5"/>
      <c r="L89" s="5"/>
      <c r="M89" s="5"/>
      <c r="N89" s="5"/>
    </row>
    <row r="90" spans="2:14">
      <c r="B90" s="5"/>
      <c r="C90" s="5"/>
      <c r="D90" s="5"/>
      <c r="E90" s="5"/>
      <c r="F90" s="5"/>
      <c r="G90" s="5"/>
      <c r="H90" s="5"/>
      <c r="I90" s="5"/>
      <c r="J90" s="5"/>
      <c r="K90" s="5"/>
      <c r="L90" s="5"/>
      <c r="M90" s="5"/>
      <c r="N90" s="5"/>
    </row>
  </sheetData>
  <sheetProtection password="C456" sheet="1" objects="1" scenarios="1"/>
  <mergeCells count="3">
    <mergeCell ref="F85:H85"/>
    <mergeCell ref="J85:N85"/>
    <mergeCell ref="D85:D86"/>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dimension ref="A8:S70"/>
  <sheetViews>
    <sheetView showGridLines="0" showRowColHeaders="0" workbookViewId="0"/>
  </sheetViews>
  <sheetFormatPr defaultColWidth="9.140625" defaultRowHeight="15"/>
  <cols>
    <col min="1" max="1" width="5.28515625" style="1" customWidth="1"/>
    <col min="2" max="2" width="15.140625" style="1" customWidth="1"/>
    <col min="3" max="3" width="2.42578125" style="1" customWidth="1"/>
    <col min="4" max="4" width="13.85546875" style="1" customWidth="1"/>
    <col min="5" max="5" width="33.5703125" style="1" customWidth="1"/>
    <col min="6" max="6" width="9.140625" style="1" customWidth="1"/>
    <col min="7" max="7" width="4.42578125" style="1" customWidth="1"/>
    <col min="8" max="8" width="2.42578125" style="1" customWidth="1"/>
    <col min="9" max="9" width="15.140625" style="1" customWidth="1"/>
    <col min="10" max="10" width="2.42578125" style="1" customWidth="1"/>
    <col min="11" max="11" width="34.85546875" style="1" customWidth="1"/>
    <col min="12" max="12" width="9.140625" style="1" customWidth="1"/>
    <col min="13" max="13" width="15.140625" style="1" customWidth="1"/>
    <col min="14" max="14" width="2.42578125" style="1" customWidth="1"/>
    <col min="15" max="15" width="15.140625" style="1" customWidth="1"/>
    <col min="16" max="16" width="2.42578125" style="1" customWidth="1"/>
    <col min="17" max="17" width="15.85546875" style="1" customWidth="1"/>
    <col min="18" max="16384" width="9.140625" style="1"/>
  </cols>
  <sheetData>
    <row r="8" spans="2:19">
      <c r="S8" s="2"/>
    </row>
    <row r="16" spans="2:19">
      <c r="B16" s="15"/>
      <c r="C16" s="15"/>
      <c r="D16" s="15"/>
      <c r="E16" s="15"/>
      <c r="F16" s="15"/>
      <c r="G16" s="15"/>
      <c r="H16" s="15"/>
      <c r="I16" s="15"/>
      <c r="J16" s="15"/>
      <c r="K16" s="15"/>
      <c r="L16" s="15"/>
      <c r="M16" s="15"/>
      <c r="N16" s="15"/>
      <c r="O16" s="15"/>
    </row>
    <row r="17" spans="2:16">
      <c r="B17" s="15"/>
      <c r="C17" s="15"/>
      <c r="D17" s="15"/>
      <c r="E17" s="15"/>
      <c r="F17" s="15"/>
      <c r="G17" s="15"/>
      <c r="H17" s="15"/>
      <c r="I17" s="15"/>
      <c r="J17" s="15"/>
      <c r="K17" s="15"/>
      <c r="L17" s="15"/>
      <c r="M17" s="15"/>
      <c r="N17" s="15"/>
      <c r="O17" s="15"/>
    </row>
    <row r="18" spans="2:16">
      <c r="B18" s="15"/>
      <c r="C18" s="15"/>
      <c r="D18" s="15"/>
      <c r="E18" s="15"/>
      <c r="F18" s="15"/>
      <c r="G18" s="15"/>
      <c r="H18" s="15"/>
      <c r="I18" s="15"/>
      <c r="J18" s="15"/>
      <c r="K18" s="15"/>
      <c r="L18" s="15"/>
      <c r="M18" s="15"/>
      <c r="N18" s="15"/>
      <c r="O18" s="15"/>
    </row>
    <row r="19" spans="2:16">
      <c r="B19" s="15"/>
      <c r="C19" s="15"/>
      <c r="D19" s="15"/>
      <c r="E19" s="15"/>
      <c r="F19" s="15"/>
      <c r="G19" s="15"/>
      <c r="H19" s="15"/>
      <c r="I19" s="15"/>
      <c r="J19" s="15"/>
      <c r="K19" s="15"/>
      <c r="L19" s="15"/>
      <c r="M19" s="15"/>
      <c r="N19" s="15"/>
      <c r="O19" s="15"/>
    </row>
    <row r="20" spans="2:16" s="3" customFormat="1" ht="30">
      <c r="B20" s="3" t="s">
        <v>127</v>
      </c>
      <c r="C20" s="2"/>
      <c r="D20" s="21" t="s">
        <v>33</v>
      </c>
    </row>
    <row r="21" spans="2:16">
      <c r="B21" s="138">
        <v>1600</v>
      </c>
      <c r="D21" s="5"/>
    </row>
    <row r="22" spans="2:16">
      <c r="B22" s="33"/>
    </row>
    <row r="23" spans="2:16">
      <c r="B23" s="33"/>
    </row>
    <row r="24" spans="2:16">
      <c r="B24" s="20"/>
    </row>
    <row r="25" spans="2:16" ht="18.75">
      <c r="B25" s="33"/>
      <c r="C25" s="37"/>
      <c r="D25" s="40" t="s">
        <v>6</v>
      </c>
      <c r="E25" s="15"/>
      <c r="F25" s="78" t="s">
        <v>224</v>
      </c>
      <c r="G25" s="15"/>
      <c r="H25" s="41"/>
      <c r="I25" s="40" t="s">
        <v>7</v>
      </c>
      <c r="J25" s="15"/>
      <c r="K25" s="15"/>
      <c r="L25" s="78" t="s">
        <v>224</v>
      </c>
      <c r="M25" s="15"/>
      <c r="N25" s="3"/>
      <c r="O25" s="3"/>
      <c r="P25" s="3"/>
    </row>
    <row r="26" spans="2:16" s="19" customFormat="1">
      <c r="B26" s="33"/>
      <c r="C26" s="13"/>
      <c r="D26" s="46" t="s">
        <v>145</v>
      </c>
      <c r="E26" s="5" t="s">
        <v>585</v>
      </c>
      <c r="F26" s="96">
        <f>((((9.4*B21/28800)*Values!AB11)/(1-0.008))/(1-Values!D6))*2</f>
        <v>1.0528673835125448</v>
      </c>
      <c r="G26" s="15"/>
      <c r="H26" s="42"/>
      <c r="I26" s="18" t="s">
        <v>124</v>
      </c>
      <c r="J26" s="1"/>
      <c r="K26" s="1"/>
      <c r="L26" s="1"/>
      <c r="M26" s="1"/>
      <c r="N26" s="1"/>
      <c r="O26" s="1"/>
      <c r="P26" s="1"/>
    </row>
    <row r="27" spans="2:16">
      <c r="C27" s="13"/>
      <c r="D27" s="2"/>
      <c r="H27" s="41"/>
      <c r="J27" s="3"/>
      <c r="K27" s="5" t="s">
        <v>590</v>
      </c>
      <c r="L27" s="99">
        <f>IF(Values!D5=2,Values!O9,F26)</f>
        <v>1.0528673835125448</v>
      </c>
    </row>
    <row r="28" spans="2:16">
      <c r="C28" s="38"/>
      <c r="D28" s="46" t="s">
        <v>146</v>
      </c>
      <c r="E28" s="5" t="s">
        <v>586</v>
      </c>
      <c r="F28" s="95" t="s">
        <v>329</v>
      </c>
      <c r="H28" s="43"/>
      <c r="I28" s="3"/>
    </row>
    <row r="29" spans="2:16">
      <c r="C29" s="13"/>
      <c r="D29" s="2"/>
      <c r="H29" s="41"/>
      <c r="I29" s="16" t="s">
        <v>125</v>
      </c>
      <c r="J29" s="5"/>
      <c r="K29" s="5"/>
      <c r="L29" s="5"/>
      <c r="M29" s="5"/>
      <c r="N29" s="5"/>
      <c r="O29" s="5" t="s">
        <v>86</v>
      </c>
      <c r="P29" s="5"/>
    </row>
    <row r="30" spans="2:16" s="6" customFormat="1">
      <c r="B30" s="1"/>
      <c r="C30" s="13"/>
      <c r="D30" s="46" t="s">
        <v>147</v>
      </c>
      <c r="E30" s="5" t="s">
        <v>587</v>
      </c>
      <c r="F30" s="97">
        <f>IF(Values!D5=2,((F32*F26)-(F26-(F26*(1-Values!D6))))/(1-F32),0)</f>
        <v>0</v>
      </c>
      <c r="G30" s="5"/>
      <c r="H30" s="41"/>
      <c r="I30" s="17" t="s">
        <v>148</v>
      </c>
      <c r="J30" s="19"/>
      <c r="K30" s="1" t="s">
        <v>149</v>
      </c>
      <c r="L30" s="100">
        <f>10*Values!AB11</f>
        <v>10</v>
      </c>
      <c r="M30" s="19"/>
      <c r="N30" s="19"/>
      <c r="O30" s="19"/>
      <c r="P30" s="19"/>
    </row>
    <row r="31" spans="2:16">
      <c r="C31" s="39"/>
      <c r="D31" s="4"/>
      <c r="E31" s="5" t="s">
        <v>588</v>
      </c>
      <c r="F31" s="146">
        <f>IF(Values!D5=2,15.7%,0)</f>
        <v>0</v>
      </c>
      <c r="G31" s="5"/>
      <c r="H31" s="44"/>
      <c r="K31" s="1" t="s">
        <v>150</v>
      </c>
      <c r="L31" s="100">
        <f>40*Values!AB11</f>
        <v>40</v>
      </c>
    </row>
    <row r="32" spans="2:16">
      <c r="C32" s="39"/>
      <c r="D32" s="46"/>
      <c r="E32" s="5" t="s">
        <v>589</v>
      </c>
      <c r="F32" s="147">
        <f>IF(Values!D5=2,90.16%,0)</f>
        <v>0</v>
      </c>
      <c r="G32" s="6"/>
      <c r="H32" s="44"/>
    </row>
    <row r="33" spans="1:19">
      <c r="C33" s="39"/>
      <c r="H33" s="44"/>
      <c r="K33" s="5" t="s">
        <v>591</v>
      </c>
      <c r="L33" s="101">
        <v>0.2</v>
      </c>
    </row>
    <row r="34" spans="1:19">
      <c r="H34" s="44"/>
      <c r="J34" s="6"/>
      <c r="K34" s="5" t="s">
        <v>592</v>
      </c>
      <c r="L34" s="102">
        <v>0.8</v>
      </c>
      <c r="N34" s="6"/>
      <c r="O34" s="6"/>
      <c r="P34" s="6"/>
    </row>
    <row r="35" spans="1:19">
      <c r="H35" s="44"/>
    </row>
    <row r="36" spans="1:19">
      <c r="H36" s="19"/>
    </row>
    <row r="37" spans="1:19">
      <c r="H37" s="31"/>
    </row>
    <row r="38" spans="1:19">
      <c r="A38" s="5"/>
      <c r="B38" s="5"/>
      <c r="H38" s="19"/>
    </row>
    <row r="39" spans="1:19">
      <c r="H39" s="19"/>
    </row>
    <row r="40" spans="1:19">
      <c r="H40" s="19"/>
    </row>
    <row r="42" spans="1:19">
      <c r="S42" s="5"/>
    </row>
    <row r="43" spans="1:19">
      <c r="E43" s="5"/>
      <c r="F43" s="5"/>
      <c r="G43" s="5"/>
      <c r="H43" s="5"/>
      <c r="I43" s="5"/>
      <c r="J43" s="5"/>
      <c r="K43" s="5"/>
      <c r="L43" s="5"/>
      <c r="M43" s="5"/>
    </row>
    <row r="44" spans="1:19">
      <c r="E44" s="5"/>
      <c r="F44" s="5"/>
      <c r="G44" s="5"/>
      <c r="H44" s="5"/>
      <c r="I44" s="17"/>
      <c r="J44" s="17"/>
      <c r="K44" s="5"/>
      <c r="L44" s="5"/>
      <c r="M44" s="17"/>
    </row>
    <row r="45" spans="1:19">
      <c r="E45" s="5"/>
      <c r="F45" s="17"/>
      <c r="G45" s="17"/>
      <c r="H45" s="5"/>
      <c r="I45" s="5"/>
      <c r="J45" s="5"/>
      <c r="K45" s="5"/>
      <c r="L45" s="5"/>
      <c r="M45" s="5"/>
    </row>
    <row r="46" spans="1:19">
      <c r="E46" s="5"/>
      <c r="F46" s="5"/>
      <c r="G46" s="5"/>
      <c r="H46" s="5"/>
      <c r="I46" s="5"/>
      <c r="J46" s="5"/>
      <c r="K46" s="5"/>
      <c r="L46" s="5"/>
      <c r="M46" s="5"/>
    </row>
    <row r="47" spans="1:19">
      <c r="E47" s="5"/>
      <c r="F47" s="5"/>
      <c r="G47" s="5"/>
      <c r="H47" s="5"/>
      <c r="I47" s="5"/>
      <c r="J47" s="5"/>
      <c r="K47" s="5"/>
      <c r="L47" s="5"/>
      <c r="M47" s="5"/>
    </row>
    <row r="48" spans="1:19">
      <c r="E48" s="5"/>
      <c r="F48" s="5"/>
      <c r="G48" s="5"/>
      <c r="H48" s="5"/>
      <c r="I48" s="5"/>
      <c r="J48" s="5"/>
      <c r="K48" s="5"/>
      <c r="L48" s="5"/>
      <c r="M48" s="5"/>
    </row>
    <row r="49" spans="1:15">
      <c r="E49" s="5"/>
      <c r="F49" s="5"/>
      <c r="G49" s="5"/>
      <c r="H49" s="5"/>
      <c r="I49" s="5"/>
      <c r="J49" s="5"/>
      <c r="K49" s="5"/>
      <c r="L49" s="5"/>
      <c r="M49" s="5"/>
    </row>
    <row r="50" spans="1:15">
      <c r="E50" s="5"/>
      <c r="F50" s="5"/>
      <c r="G50" s="5"/>
      <c r="H50" s="5"/>
      <c r="I50" s="5"/>
      <c r="J50" s="5"/>
      <c r="K50" s="5"/>
      <c r="L50" s="5"/>
      <c r="M50" s="5"/>
    </row>
    <row r="51" spans="1:15">
      <c r="E51" s="5"/>
      <c r="F51" s="17"/>
      <c r="G51" s="17"/>
      <c r="H51" s="5"/>
      <c r="I51" s="5"/>
      <c r="J51" s="5"/>
      <c r="K51" s="5"/>
      <c r="L51" s="5"/>
      <c r="M51" s="5"/>
    </row>
    <row r="52" spans="1:15">
      <c r="E52" s="5"/>
      <c r="F52" s="18"/>
      <c r="G52" s="18"/>
      <c r="H52" s="5"/>
      <c r="I52" s="5"/>
      <c r="J52" s="5"/>
      <c r="K52" s="5"/>
      <c r="L52" s="5"/>
      <c r="M52" s="5"/>
    </row>
    <row r="53" spans="1:15">
      <c r="E53" s="5"/>
      <c r="F53" s="5"/>
      <c r="G53" s="5"/>
      <c r="H53" s="5"/>
      <c r="I53" s="5"/>
      <c r="J53" s="5"/>
      <c r="K53" s="5"/>
      <c r="L53" s="5"/>
      <c r="M53" s="5"/>
    </row>
    <row r="54" spans="1:15">
      <c r="E54" s="5"/>
      <c r="F54" s="18"/>
      <c r="G54" s="18"/>
      <c r="H54" s="5"/>
      <c r="I54" s="5"/>
      <c r="J54" s="5"/>
      <c r="K54" s="5"/>
      <c r="L54" s="5"/>
      <c r="M54" s="5"/>
    </row>
    <row r="55" spans="1:15">
      <c r="E55" s="5"/>
      <c r="F55" s="5"/>
      <c r="G55" s="5"/>
      <c r="H55" s="5"/>
      <c r="I55" s="5"/>
      <c r="J55" s="5"/>
      <c r="K55" s="5"/>
      <c r="L55" s="5"/>
      <c r="M55" s="5"/>
    </row>
    <row r="56" spans="1:15">
      <c r="E56" s="5"/>
      <c r="F56" s="5"/>
      <c r="G56" s="5"/>
      <c r="H56" s="5"/>
      <c r="I56" s="5"/>
      <c r="J56" s="5"/>
      <c r="K56" s="5"/>
      <c r="L56" s="5"/>
      <c r="M56" s="5"/>
    </row>
    <row r="57" spans="1:15">
      <c r="E57" s="5"/>
      <c r="F57" s="5"/>
      <c r="G57" s="5"/>
      <c r="H57" s="5"/>
      <c r="I57" s="5"/>
      <c r="J57" s="5"/>
      <c r="K57" s="5"/>
      <c r="L57" s="5"/>
      <c r="M57" s="5"/>
    </row>
    <row r="58" spans="1:15">
      <c r="E58" s="5"/>
      <c r="F58" s="5"/>
      <c r="G58" s="5"/>
      <c r="H58" s="5"/>
      <c r="I58" s="5"/>
      <c r="J58" s="5"/>
      <c r="K58" s="5"/>
      <c r="L58" s="5"/>
      <c r="M58" s="5"/>
    </row>
    <row r="59" spans="1:15">
      <c r="E59" s="5"/>
      <c r="F59" s="5"/>
      <c r="G59" s="5"/>
      <c r="H59" s="5"/>
      <c r="I59" s="5"/>
      <c r="J59" s="5"/>
      <c r="K59" s="5"/>
      <c r="L59" s="5"/>
      <c r="M59" s="5"/>
    </row>
    <row r="60" spans="1:15">
      <c r="E60" s="5"/>
      <c r="F60" s="5"/>
      <c r="G60" s="5"/>
      <c r="H60" s="5"/>
      <c r="I60" s="5"/>
      <c r="J60" s="5"/>
      <c r="K60" s="5"/>
      <c r="L60" s="5"/>
      <c r="M60" s="5"/>
    </row>
    <row r="63" spans="1:15">
      <c r="A63" s="5"/>
      <c r="B63" s="5"/>
      <c r="C63" s="5"/>
      <c r="D63" s="5"/>
      <c r="E63" s="5"/>
      <c r="F63" s="5"/>
      <c r="G63" s="5"/>
      <c r="H63" s="5"/>
      <c r="I63" s="5"/>
      <c r="J63" s="5"/>
      <c r="K63" s="5"/>
      <c r="L63" s="5"/>
      <c r="M63" s="5"/>
      <c r="N63" s="5"/>
      <c r="O63" s="5"/>
    </row>
    <row r="64" spans="1:15">
      <c r="A64" s="5"/>
      <c r="B64" s="5"/>
      <c r="C64" s="5"/>
      <c r="D64" s="5"/>
      <c r="E64" s="5"/>
      <c r="F64" s="5"/>
      <c r="G64" s="5"/>
      <c r="H64" s="5"/>
      <c r="I64" s="5"/>
      <c r="J64" s="5"/>
      <c r="K64" s="5"/>
      <c r="L64" s="5"/>
      <c r="M64" s="5"/>
      <c r="N64" s="5"/>
      <c r="O64" s="5"/>
    </row>
    <row r="65" spans="1:15">
      <c r="A65" s="5"/>
      <c r="B65" s="5"/>
      <c r="C65" s="5"/>
      <c r="D65" s="5"/>
      <c r="E65" s="5"/>
      <c r="F65" s="5"/>
      <c r="G65" s="5"/>
      <c r="H65" s="5"/>
      <c r="I65" s="5"/>
      <c r="J65" s="5"/>
      <c r="K65" s="5"/>
      <c r="L65" s="5"/>
      <c r="M65" s="5"/>
      <c r="N65" s="5"/>
      <c r="O65" s="5"/>
    </row>
    <row r="66" spans="1:15">
      <c r="A66" s="5"/>
      <c r="B66" s="5"/>
      <c r="C66" s="5"/>
      <c r="D66" s="5"/>
      <c r="E66" s="5"/>
      <c r="F66" s="5"/>
      <c r="G66" s="5"/>
      <c r="H66" s="5"/>
      <c r="I66" s="5"/>
      <c r="J66" s="5"/>
      <c r="K66" s="5"/>
      <c r="L66" s="5"/>
      <c r="M66" s="5"/>
      <c r="N66" s="5"/>
      <c r="O66" s="5"/>
    </row>
    <row r="67" spans="1:15">
      <c r="A67" s="5"/>
      <c r="B67" s="5"/>
      <c r="C67" s="5"/>
      <c r="D67" s="157"/>
      <c r="E67" s="5"/>
      <c r="F67" s="155"/>
      <c r="G67" s="155"/>
      <c r="H67" s="155"/>
      <c r="I67" s="155"/>
      <c r="J67" s="5"/>
      <c r="K67" s="156"/>
      <c r="L67" s="156"/>
      <c r="M67" s="156"/>
      <c r="N67" s="156"/>
      <c r="O67" s="156"/>
    </row>
    <row r="68" spans="1:15">
      <c r="A68" s="5"/>
      <c r="B68" s="5"/>
      <c r="C68" s="5"/>
      <c r="D68" s="157"/>
      <c r="E68" s="5"/>
      <c r="F68" s="5"/>
      <c r="G68" s="5"/>
      <c r="H68" s="5"/>
      <c r="I68" s="5"/>
      <c r="J68" s="5"/>
      <c r="K68" s="5"/>
      <c r="L68" s="5"/>
      <c r="M68" s="5"/>
      <c r="N68" s="5"/>
      <c r="O68" s="5"/>
    </row>
    <row r="69" spans="1:15">
      <c r="A69" s="5"/>
      <c r="B69" s="5"/>
      <c r="C69" s="5"/>
      <c r="D69" s="5"/>
      <c r="E69" s="5"/>
      <c r="F69" s="5"/>
      <c r="G69" s="5"/>
      <c r="H69" s="5"/>
      <c r="I69" s="5"/>
      <c r="J69" s="5"/>
      <c r="K69" s="5"/>
      <c r="L69" s="5"/>
      <c r="M69" s="5"/>
      <c r="N69" s="5"/>
      <c r="O69" s="5"/>
    </row>
    <row r="70" spans="1:15">
      <c r="A70" s="5"/>
      <c r="B70" s="5"/>
      <c r="C70" s="5"/>
      <c r="D70" s="5"/>
      <c r="E70" s="5"/>
      <c r="F70" s="5"/>
      <c r="G70" s="5"/>
      <c r="H70" s="5"/>
      <c r="I70" s="5"/>
      <c r="J70" s="5"/>
      <c r="K70" s="5"/>
      <c r="L70" s="5"/>
      <c r="M70" s="5"/>
      <c r="N70" s="5"/>
      <c r="O70" s="5"/>
    </row>
  </sheetData>
  <sheetProtection password="C456" sheet="1" objects="1" scenarios="1"/>
  <mergeCells count="3">
    <mergeCell ref="D67:D68"/>
    <mergeCell ref="F67:I67"/>
    <mergeCell ref="K67:O67"/>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dimension ref="A8:S52"/>
  <sheetViews>
    <sheetView showGridLines="0" showRowColHeaders="0" workbookViewId="0"/>
  </sheetViews>
  <sheetFormatPr defaultColWidth="9.140625" defaultRowHeight="15"/>
  <cols>
    <col min="1" max="1" width="5.28515625" style="1" customWidth="1"/>
    <col min="2" max="2" width="15.140625" style="1" customWidth="1"/>
    <col min="3" max="3" width="2.42578125" style="1" customWidth="1"/>
    <col min="4" max="4" width="37.28515625" style="1" customWidth="1"/>
    <col min="5" max="5" width="2.42578125" style="1" customWidth="1"/>
    <col min="6" max="6" width="16" style="1" customWidth="1"/>
    <col min="7" max="8" width="2.42578125" style="1" customWidth="1"/>
    <col min="9" max="9" width="37" style="1" customWidth="1"/>
    <col min="10" max="10" width="2.42578125" style="1" customWidth="1"/>
    <col min="11" max="11" width="16" style="1" customWidth="1"/>
    <col min="12" max="12" width="2.42578125" style="1" customWidth="1"/>
    <col min="13" max="13" width="15.140625" style="1" customWidth="1"/>
    <col min="14" max="14" width="2.42578125" style="1" customWidth="1"/>
    <col min="15" max="15" width="15.140625" style="1" customWidth="1"/>
    <col min="16" max="16" width="2.42578125" style="1" customWidth="1"/>
    <col min="17" max="16384" width="9.140625" style="1"/>
  </cols>
  <sheetData>
    <row r="8" spans="2:19">
      <c r="S8" s="2"/>
    </row>
    <row r="16" spans="2:19">
      <c r="B16" s="15"/>
      <c r="C16" s="15"/>
      <c r="D16" s="15"/>
      <c r="E16" s="15"/>
      <c r="F16" s="15"/>
      <c r="G16" s="15"/>
      <c r="H16" s="15"/>
      <c r="I16" s="15"/>
      <c r="J16" s="15"/>
      <c r="K16" s="15"/>
      <c r="L16" s="15"/>
      <c r="M16" s="15"/>
      <c r="N16" s="15"/>
      <c r="O16" s="15"/>
    </row>
    <row r="17" spans="2:19">
      <c r="C17" s="15"/>
      <c r="D17" s="63" t="s">
        <v>162</v>
      </c>
      <c r="E17" s="15"/>
      <c r="F17" s="15"/>
      <c r="G17" s="15"/>
      <c r="H17" s="15"/>
      <c r="I17" s="15"/>
      <c r="J17" s="15"/>
      <c r="K17" s="15"/>
      <c r="L17" s="15"/>
      <c r="M17" s="15"/>
      <c r="N17" s="15"/>
      <c r="O17" s="15"/>
    </row>
    <row r="18" spans="2:19">
      <c r="E18" s="15"/>
      <c r="F18" s="34" t="s">
        <v>168</v>
      </c>
      <c r="G18" s="34"/>
      <c r="H18" s="15"/>
      <c r="I18" s="34" t="s">
        <v>169</v>
      </c>
      <c r="J18" s="15"/>
      <c r="K18" s="15"/>
      <c r="L18" s="15"/>
      <c r="M18" s="15"/>
      <c r="N18" s="15"/>
      <c r="O18" s="15"/>
    </row>
    <row r="19" spans="2:19">
      <c r="D19" s="62" t="s">
        <v>161</v>
      </c>
      <c r="E19" s="15"/>
      <c r="F19" s="151">
        <v>0.75</v>
      </c>
      <c r="G19" s="64"/>
      <c r="H19" s="15"/>
      <c r="I19" s="64">
        <f>Start!F14</f>
        <v>0.75</v>
      </c>
      <c r="J19" s="15"/>
      <c r="K19" s="15"/>
      <c r="L19" s="15"/>
      <c r="M19" s="15"/>
      <c r="N19" s="15"/>
      <c r="O19" s="15"/>
    </row>
    <row r="20" spans="2:19">
      <c r="D20" s="62" t="s">
        <v>601</v>
      </c>
      <c r="E20" s="15"/>
      <c r="F20" s="15">
        <f>'New SRA Environment'!B21</f>
        <v>1600</v>
      </c>
      <c r="G20" s="15"/>
      <c r="H20" s="15"/>
      <c r="I20" s="15"/>
      <c r="J20" s="15"/>
      <c r="K20" s="15"/>
      <c r="L20" s="15"/>
      <c r="M20" s="15"/>
      <c r="N20" s="15"/>
      <c r="O20" s="15"/>
    </row>
    <row r="21" spans="2:19">
      <c r="C21" s="15"/>
      <c r="D21" s="62" t="s">
        <v>128</v>
      </c>
      <c r="E21" s="15"/>
      <c r="F21" s="62" t="str">
        <f>Values!AB12</f>
        <v>average</v>
      </c>
      <c r="G21" s="62"/>
      <c r="H21" s="15"/>
      <c r="I21" s="15"/>
      <c r="J21" s="15"/>
      <c r="K21" s="15"/>
      <c r="L21" s="15"/>
      <c r="M21" s="15"/>
      <c r="N21" s="15"/>
      <c r="O21" s="15"/>
    </row>
    <row r="22" spans="2:19">
      <c r="B22" s="15"/>
      <c r="C22" s="15"/>
      <c r="D22" s="15"/>
      <c r="E22" s="15"/>
      <c r="F22" s="15"/>
      <c r="G22" s="15"/>
      <c r="H22" s="15"/>
      <c r="I22" s="15"/>
      <c r="J22" s="15"/>
      <c r="K22" s="15"/>
      <c r="L22" s="15"/>
      <c r="M22" s="15"/>
      <c r="N22" s="15"/>
      <c r="O22" s="15"/>
    </row>
    <row r="23" spans="2:19" s="3" customFormat="1" ht="18.75">
      <c r="B23" s="15"/>
      <c r="C23" s="37"/>
      <c r="D23" s="40" t="s">
        <v>6</v>
      </c>
      <c r="E23" s="15"/>
      <c r="F23" s="15"/>
      <c r="G23" s="15"/>
      <c r="H23" s="41"/>
      <c r="I23" s="40" t="s">
        <v>7</v>
      </c>
      <c r="J23" s="15"/>
      <c r="K23" s="15"/>
      <c r="N23" s="15"/>
      <c r="O23" s="15"/>
    </row>
    <row r="24" spans="2:19">
      <c r="B24" s="15"/>
      <c r="C24" s="13"/>
      <c r="D24" s="3" t="s">
        <v>156</v>
      </c>
      <c r="E24" s="34"/>
      <c r="F24" s="92">
        <f>Values!AE22</f>
        <v>1</v>
      </c>
      <c r="G24" s="78"/>
      <c r="H24" s="42"/>
      <c r="I24" s="3" t="s">
        <v>156</v>
      </c>
      <c r="J24" s="34"/>
      <c r="K24" s="92">
        <f>Values!AG22</f>
        <v>1</v>
      </c>
    </row>
    <row r="25" spans="2:19">
      <c r="B25" s="33"/>
      <c r="C25" s="13"/>
      <c r="D25" s="21"/>
      <c r="E25" s="15"/>
      <c r="F25" s="82"/>
      <c r="G25" s="82"/>
      <c r="H25" s="41"/>
      <c r="I25" s="21"/>
      <c r="J25" s="15"/>
      <c r="K25" s="82"/>
    </row>
    <row r="26" spans="2:19">
      <c r="B26" s="20"/>
      <c r="C26" s="38"/>
      <c r="D26" s="21" t="s">
        <v>157</v>
      </c>
      <c r="E26" s="15"/>
      <c r="F26" s="83"/>
      <c r="G26" s="83"/>
      <c r="H26" s="43"/>
      <c r="I26" s="21" t="s">
        <v>157</v>
      </c>
      <c r="J26" s="15"/>
      <c r="K26" s="83"/>
    </row>
    <row r="27" spans="2:19">
      <c r="B27" s="33"/>
      <c r="C27" s="13"/>
      <c r="D27" s="48" t="s">
        <v>602</v>
      </c>
      <c r="F27" s="93" t="s">
        <v>559</v>
      </c>
      <c r="G27" s="82"/>
      <c r="H27" s="41"/>
      <c r="I27" s="48" t="s">
        <v>602</v>
      </c>
      <c r="K27" s="93" t="s">
        <v>559</v>
      </c>
      <c r="N27" s="5"/>
      <c r="O27" s="5"/>
      <c r="P27" s="5"/>
      <c r="Q27" s="5"/>
      <c r="R27" s="5"/>
      <c r="S27" s="5"/>
    </row>
    <row r="28" spans="2:19" s="19" customFormat="1">
      <c r="B28" s="33"/>
      <c r="C28" s="13"/>
      <c r="D28" s="49" t="s">
        <v>570</v>
      </c>
      <c r="E28" s="1"/>
      <c r="F28" s="93">
        <f>Values!AF27</f>
        <v>4</v>
      </c>
      <c r="G28" s="82"/>
      <c r="H28" s="41"/>
      <c r="I28" s="49" t="s">
        <v>570</v>
      </c>
      <c r="J28" s="1"/>
      <c r="K28" s="93">
        <f>Values!AH27</f>
        <v>12</v>
      </c>
    </row>
    <row r="29" spans="2:19">
      <c r="C29" s="39"/>
      <c r="D29" s="3"/>
      <c r="F29" s="82"/>
      <c r="G29" s="82"/>
      <c r="H29" s="44"/>
      <c r="I29" s="3"/>
      <c r="K29" s="82"/>
    </row>
    <row r="30" spans="2:19">
      <c r="C30" s="39"/>
      <c r="D30" s="21" t="s">
        <v>158</v>
      </c>
      <c r="F30" s="82"/>
      <c r="G30" s="82"/>
      <c r="H30" s="44"/>
      <c r="I30" s="21" t="s">
        <v>158</v>
      </c>
      <c r="K30" s="82"/>
    </row>
    <row r="31" spans="2:19">
      <c r="C31" s="39"/>
      <c r="D31" s="49" t="s">
        <v>160</v>
      </c>
      <c r="F31" s="94">
        <f>F20/F24</f>
        <v>1600</v>
      </c>
      <c r="G31" s="88"/>
      <c r="H31" s="44"/>
      <c r="I31" s="49" t="s">
        <v>160</v>
      </c>
      <c r="K31" s="94">
        <f>F20/K24</f>
        <v>1600</v>
      </c>
      <c r="N31" s="3"/>
    </row>
    <row r="32" spans="2:19" s="6" customFormat="1">
      <c r="B32" s="1"/>
      <c r="C32" s="39"/>
      <c r="D32" s="49" t="s">
        <v>159</v>
      </c>
      <c r="E32" s="1"/>
      <c r="F32" s="144">
        <f>Values!AE31</f>
        <v>7.5707268683630521E-2</v>
      </c>
      <c r="G32" s="84"/>
      <c r="H32" s="44"/>
      <c r="I32" s="49" t="s">
        <v>159</v>
      </c>
      <c r="J32" s="1"/>
      <c r="K32" s="144">
        <f>Values!AG31</f>
        <v>0.33083032168968041</v>
      </c>
      <c r="N32" s="1"/>
      <c r="O32" s="1"/>
    </row>
    <row r="33" spans="1:19">
      <c r="C33" s="39"/>
      <c r="D33" s="49" t="s">
        <v>571</v>
      </c>
      <c r="F33" s="144">
        <f>Values!AF31</f>
        <v>0.62650479668821635</v>
      </c>
      <c r="G33" s="84"/>
      <c r="H33" s="44"/>
      <c r="I33" s="49" t="s">
        <v>571</v>
      </c>
      <c r="K33" s="144">
        <f>Values!AH31</f>
        <v>0.65920100233289947</v>
      </c>
    </row>
    <row r="34" spans="1:19">
      <c r="C34" s="39"/>
      <c r="D34" s="160" t="s">
        <v>593</v>
      </c>
      <c r="E34" s="161"/>
      <c r="F34" s="161"/>
      <c r="G34" s="161"/>
      <c r="H34" s="44"/>
      <c r="I34" s="142"/>
      <c r="J34" s="143"/>
      <c r="K34" s="143"/>
    </row>
    <row r="35" spans="1:19" ht="15" customHeight="1">
      <c r="C35" s="19"/>
      <c r="D35" s="161"/>
      <c r="E35" s="161"/>
      <c r="F35" s="161"/>
      <c r="G35" s="161"/>
      <c r="H35" s="19"/>
      <c r="I35" s="158" t="str">
        <f>IF(Values!O5=2,"NOTE: Background scanning significantly increases server utilization. CPU, in particular, is increased significantly when background scanning is enabled."," ")</f>
        <v xml:space="preserve"> </v>
      </c>
      <c r="J35" s="159"/>
      <c r="K35" s="159"/>
    </row>
    <row r="36" spans="1:19">
      <c r="D36" s="161"/>
      <c r="E36" s="161"/>
      <c r="F36" s="161"/>
      <c r="G36" s="161"/>
      <c r="H36" s="19"/>
      <c r="I36" s="159"/>
      <c r="J36" s="159"/>
      <c r="K36" s="159"/>
    </row>
    <row r="37" spans="1:19">
      <c r="D37" s="161"/>
      <c r="E37" s="161"/>
      <c r="F37" s="161"/>
      <c r="G37" s="161"/>
      <c r="I37" s="159"/>
      <c r="J37" s="159"/>
      <c r="K37" s="159"/>
    </row>
    <row r="38" spans="1:19">
      <c r="J38" s="19"/>
      <c r="K38"/>
    </row>
    <row r="40" spans="1:19">
      <c r="A40" s="5"/>
      <c r="B40" s="5"/>
      <c r="C40" s="5"/>
      <c r="D40" s="5"/>
      <c r="E40" s="5"/>
      <c r="F40" s="5"/>
      <c r="G40" s="5"/>
      <c r="H40" s="5"/>
      <c r="I40" s="5"/>
      <c r="J40" s="5"/>
      <c r="L40" s="5"/>
      <c r="M40" s="5"/>
      <c r="N40" s="5"/>
      <c r="O40" s="5"/>
      <c r="P40" s="5"/>
      <c r="Q40" s="5"/>
      <c r="R40" s="5"/>
      <c r="S40" s="5"/>
    </row>
    <row r="41" spans="1:19">
      <c r="F41" s="4"/>
      <c r="G41" s="4"/>
      <c r="H41" s="5"/>
      <c r="I41" s="17"/>
      <c r="J41" s="4"/>
      <c r="N41" s="5"/>
      <c r="O41" s="5"/>
      <c r="P41" s="5"/>
      <c r="Q41" s="5"/>
      <c r="R41" s="5"/>
      <c r="S41" s="5"/>
    </row>
    <row r="42" spans="1:19">
      <c r="H42" s="5"/>
      <c r="I42" s="5"/>
      <c r="Q42" s="1" t="s">
        <v>86</v>
      </c>
      <c r="S42" s="18"/>
    </row>
    <row r="47" spans="1:19">
      <c r="B47" s="5"/>
      <c r="C47" s="5"/>
      <c r="D47" s="5"/>
      <c r="E47" s="5"/>
      <c r="F47" s="5"/>
      <c r="G47" s="5"/>
      <c r="H47" s="5"/>
      <c r="I47" s="5"/>
      <c r="J47" s="5"/>
      <c r="K47" s="5"/>
      <c r="L47" s="5"/>
      <c r="M47" s="5"/>
      <c r="N47" s="5"/>
      <c r="O47" s="5"/>
    </row>
    <row r="48" spans="1:19">
      <c r="B48" s="5"/>
      <c r="C48" s="5"/>
      <c r="D48" s="157"/>
      <c r="E48" s="5"/>
      <c r="F48" s="155"/>
      <c r="G48" s="155"/>
      <c r="H48" s="155"/>
      <c r="I48" s="155"/>
      <c r="J48" s="5"/>
      <c r="K48" s="156"/>
      <c r="L48" s="156"/>
      <c r="M48" s="156"/>
      <c r="N48" s="156"/>
      <c r="O48" s="156"/>
    </row>
    <row r="49" spans="2:15">
      <c r="B49" s="5"/>
      <c r="C49" s="5"/>
      <c r="D49" s="157"/>
      <c r="E49" s="5"/>
      <c r="F49" s="5"/>
      <c r="G49" s="5"/>
      <c r="H49" s="5"/>
      <c r="I49" s="5"/>
      <c r="J49" s="5"/>
      <c r="K49" s="5"/>
      <c r="L49" s="5"/>
      <c r="M49" s="5"/>
      <c r="N49" s="5"/>
      <c r="O49" s="5"/>
    </row>
    <row r="50" spans="2:15">
      <c r="B50" s="5"/>
      <c r="C50" s="5"/>
      <c r="D50" s="5"/>
      <c r="E50" s="5"/>
      <c r="F50" s="5"/>
      <c r="G50" s="5"/>
      <c r="H50" s="5"/>
      <c r="I50" s="5"/>
      <c r="J50" s="5"/>
      <c r="K50" s="5"/>
      <c r="L50" s="5"/>
      <c r="M50" s="5"/>
      <c r="N50" s="5"/>
      <c r="O50" s="5"/>
    </row>
    <row r="51" spans="2:15">
      <c r="B51" s="5"/>
      <c r="C51" s="5"/>
      <c r="D51" s="5"/>
      <c r="E51" s="5"/>
      <c r="F51" s="5"/>
      <c r="G51" s="5"/>
      <c r="H51" s="5"/>
      <c r="I51" s="5"/>
      <c r="J51" s="5"/>
      <c r="K51" s="5"/>
      <c r="L51" s="5"/>
      <c r="M51" s="5"/>
      <c r="N51" s="5"/>
      <c r="O51" s="5"/>
    </row>
    <row r="52" spans="2:15">
      <c r="B52" s="5"/>
      <c r="C52" s="5"/>
      <c r="D52" s="5"/>
      <c r="E52" s="5"/>
      <c r="F52" s="5"/>
      <c r="G52" s="5"/>
      <c r="H52" s="5"/>
      <c r="I52" s="5"/>
      <c r="J52" s="5"/>
      <c r="K52" s="5"/>
      <c r="L52" s="5"/>
      <c r="M52" s="5"/>
      <c r="N52" s="5"/>
      <c r="O52" s="5"/>
    </row>
  </sheetData>
  <sheetProtection password="C456" sheet="1" objects="1" scenarios="1"/>
  <mergeCells count="5">
    <mergeCell ref="D48:D49"/>
    <mergeCell ref="F48:I48"/>
    <mergeCell ref="K48:O48"/>
    <mergeCell ref="I35:K37"/>
    <mergeCell ref="D34:G3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dimension ref="A16:AC90"/>
  <sheetViews>
    <sheetView showGridLines="0" showRowColHeaders="0" workbookViewId="0"/>
  </sheetViews>
  <sheetFormatPr defaultColWidth="9.140625" defaultRowHeight="15"/>
  <cols>
    <col min="1" max="1" width="5.28515625" style="1" customWidth="1"/>
    <col min="2" max="2" width="2.42578125" style="1" customWidth="1"/>
    <col min="3" max="3" width="20.42578125" style="1" customWidth="1"/>
    <col min="4" max="4" width="2.42578125" style="1" customWidth="1"/>
    <col min="5" max="5" width="15.140625" style="1" customWidth="1"/>
    <col min="6" max="6" width="2.42578125" style="1" customWidth="1"/>
    <col min="7" max="7" width="16" style="1" customWidth="1"/>
    <col min="8" max="8" width="2.42578125" style="1" customWidth="1"/>
    <col min="9" max="9" width="21" style="1" customWidth="1"/>
    <col min="10" max="10" width="2.42578125" style="1" customWidth="1"/>
    <col min="11" max="11" width="15.140625" style="1" customWidth="1"/>
    <col min="12" max="13" width="2.42578125" style="1" customWidth="1"/>
    <col min="14" max="14" width="19.28515625" style="1" customWidth="1"/>
    <col min="15" max="16" width="2.42578125" style="1" customWidth="1"/>
    <col min="17" max="17" width="15.140625" style="1" customWidth="1"/>
    <col min="18" max="18" width="2.42578125" style="1" customWidth="1"/>
    <col min="19" max="19" width="14.7109375" style="1" customWidth="1"/>
    <col min="20" max="16384" width="9.140625" style="1"/>
  </cols>
  <sheetData>
    <row r="16" spans="3:14">
      <c r="C16" s="15"/>
      <c r="D16" s="15"/>
      <c r="E16" s="15"/>
      <c r="F16" s="15"/>
      <c r="G16" s="15"/>
      <c r="H16" s="15"/>
      <c r="I16" s="15"/>
      <c r="J16" s="15"/>
      <c r="K16" s="15"/>
      <c r="L16" s="15"/>
      <c r="M16" s="15"/>
      <c r="N16" s="15"/>
    </row>
    <row r="17" spans="1:29">
      <c r="C17" s="15"/>
      <c r="D17" s="15"/>
      <c r="E17" s="15"/>
      <c r="F17" s="15"/>
      <c r="G17" s="15"/>
      <c r="H17" s="15"/>
      <c r="I17" s="15"/>
      <c r="J17" s="15"/>
      <c r="K17" s="15"/>
      <c r="L17" s="15"/>
      <c r="M17" s="15"/>
      <c r="N17" s="15"/>
    </row>
    <row r="18" spans="1:29" s="3" customFormat="1" ht="18.75">
      <c r="A18" s="31"/>
      <c r="B18" s="37"/>
      <c r="C18" s="40" t="s">
        <v>6</v>
      </c>
      <c r="D18" s="15"/>
      <c r="E18" s="15"/>
      <c r="F18" s="15"/>
      <c r="G18" s="15"/>
      <c r="H18" s="54"/>
      <c r="I18" s="40" t="s">
        <v>155</v>
      </c>
      <c r="J18" s="15"/>
      <c r="K18" s="15"/>
      <c r="L18" s="15"/>
      <c r="M18" s="51"/>
      <c r="N18" s="50" t="s">
        <v>154</v>
      </c>
    </row>
    <row r="19" spans="1:29">
      <c r="A19" s="15"/>
      <c r="B19" s="13"/>
      <c r="C19" s="3" t="s">
        <v>595</v>
      </c>
      <c r="D19" s="34"/>
      <c r="E19" s="34"/>
      <c r="F19" s="34"/>
      <c r="G19" s="34"/>
      <c r="H19" s="55"/>
      <c r="I19" s="21" t="s">
        <v>597</v>
      </c>
      <c r="J19" s="3"/>
      <c r="K19" s="69">
        <v>4</v>
      </c>
      <c r="M19" s="52"/>
      <c r="N19" s="21" t="s">
        <v>594</v>
      </c>
      <c r="O19" s="3"/>
      <c r="P19" s="1">
        <v>4</v>
      </c>
    </row>
    <row r="20" spans="1:29" ht="15" customHeight="1">
      <c r="A20" s="15"/>
      <c r="B20" s="13"/>
      <c r="C20" s="21" t="s">
        <v>113</v>
      </c>
      <c r="D20" s="15"/>
      <c r="E20" s="1" t="s">
        <v>582</v>
      </c>
      <c r="F20" s="25"/>
      <c r="G20" s="15"/>
      <c r="H20" s="54"/>
      <c r="I20" s="3" t="s">
        <v>596</v>
      </c>
      <c r="M20" s="52"/>
      <c r="N20" s="3" t="s">
        <v>596</v>
      </c>
    </row>
    <row r="21" spans="1:29">
      <c r="A21" s="20"/>
      <c r="B21" s="38"/>
      <c r="C21" s="21" t="s">
        <v>594</v>
      </c>
      <c r="D21" s="15"/>
      <c r="E21" s="47">
        <v>4</v>
      </c>
      <c r="F21" s="20"/>
      <c r="G21" s="35"/>
      <c r="H21" s="56"/>
      <c r="I21" s="21" t="s">
        <v>85</v>
      </c>
      <c r="J21" s="5"/>
      <c r="K21" s="5"/>
      <c r="L21" s="5"/>
      <c r="M21" s="52"/>
      <c r="N21" s="21" t="s">
        <v>85</v>
      </c>
      <c r="O21" s="5"/>
      <c r="P21" s="5"/>
      <c r="Q21" s="5"/>
      <c r="U21" s="5"/>
    </row>
    <row r="22" spans="1:29">
      <c r="A22" s="15"/>
      <c r="B22" s="13"/>
      <c r="C22" s="3" t="s">
        <v>596</v>
      </c>
      <c r="F22" s="15"/>
      <c r="G22" s="25"/>
      <c r="H22" s="54"/>
      <c r="I22" s="3" t="s">
        <v>595</v>
      </c>
      <c r="M22" s="53"/>
      <c r="N22" s="3" t="s">
        <v>595</v>
      </c>
    </row>
    <row r="23" spans="1:29" s="19" customFormat="1">
      <c r="A23" s="15"/>
      <c r="B23" s="13"/>
      <c r="C23" s="21" t="s">
        <v>85</v>
      </c>
      <c r="D23" s="1"/>
      <c r="E23" s="1"/>
      <c r="F23" s="15"/>
      <c r="G23" s="25"/>
      <c r="H23" s="54"/>
      <c r="I23" s="21" t="s">
        <v>113</v>
      </c>
      <c r="J23" s="1"/>
      <c r="K23" s="1" t="s">
        <v>582</v>
      </c>
      <c r="L23" s="3"/>
      <c r="M23" s="52"/>
      <c r="N23" s="21" t="s">
        <v>113</v>
      </c>
      <c r="O23" s="1"/>
      <c r="P23" s="1" t="s">
        <v>582</v>
      </c>
      <c r="Q23" s="1"/>
    </row>
    <row r="24" spans="1:29">
      <c r="A24" s="19"/>
      <c r="B24" s="39"/>
      <c r="C24" s="3" t="s">
        <v>583</v>
      </c>
      <c r="H24" s="57"/>
      <c r="M24" s="52"/>
    </row>
    <row r="25" spans="1:29">
      <c r="A25" s="19"/>
      <c r="B25" s="39"/>
      <c r="C25" s="1" t="s">
        <v>598</v>
      </c>
      <c r="H25" s="19"/>
      <c r="P25" s="19"/>
      <c r="Q25"/>
    </row>
    <row r="26" spans="1:29">
      <c r="A26" s="19"/>
      <c r="B26" s="39"/>
      <c r="H26" s="19"/>
      <c r="I26" s="1" t="s">
        <v>126</v>
      </c>
      <c r="P26" s="19"/>
    </row>
    <row r="27" spans="1:29" s="6" customFormat="1">
      <c r="A27" s="1"/>
      <c r="B27" s="1"/>
      <c r="C27" s="1"/>
      <c r="D27" s="1"/>
      <c r="E27" s="1"/>
      <c r="F27" s="1"/>
      <c r="G27" s="1"/>
      <c r="H27" s="19"/>
      <c r="I27" s="148" t="s">
        <v>584</v>
      </c>
      <c r="K27" s="1"/>
      <c r="L27" s="1"/>
      <c r="P27" s="58"/>
    </row>
    <row r="28" spans="1:29">
      <c r="J28" s="19"/>
      <c r="K28" s="16"/>
      <c r="R28" s="19"/>
    </row>
    <row r="29" spans="1:29">
      <c r="J29" s="19"/>
      <c r="K29" s="1" t="s">
        <v>86</v>
      </c>
    </row>
    <row r="30" spans="1:29">
      <c r="J30" s="31"/>
    </row>
    <row r="31" spans="1:29">
      <c r="J31" s="19"/>
      <c r="AC31" s="1" t="s">
        <v>86</v>
      </c>
    </row>
    <row r="32" spans="1:29">
      <c r="J32" s="19"/>
    </row>
    <row r="33" spans="1:17">
      <c r="J33" s="19"/>
    </row>
    <row r="35" spans="1:17">
      <c r="A35" s="5"/>
      <c r="B35" s="5"/>
      <c r="C35" s="5"/>
      <c r="D35" s="5"/>
      <c r="E35" s="5"/>
      <c r="F35" s="5"/>
      <c r="G35" s="5"/>
      <c r="H35" s="5"/>
      <c r="I35" s="5"/>
      <c r="J35" s="5"/>
      <c r="L35" s="5"/>
      <c r="M35" s="5"/>
      <c r="N35" s="5"/>
      <c r="O35" s="5"/>
      <c r="P35" s="5"/>
      <c r="Q35" s="5"/>
    </row>
    <row r="36" spans="1:17">
      <c r="G36" s="4"/>
      <c r="H36" s="5"/>
      <c r="I36" s="17"/>
      <c r="J36" s="4"/>
      <c r="M36" s="5"/>
      <c r="N36" s="5"/>
      <c r="O36" s="5"/>
      <c r="P36" s="5"/>
      <c r="Q36" s="5"/>
    </row>
    <row r="37" spans="1:17">
      <c r="H37" s="5"/>
      <c r="I37" s="5"/>
      <c r="P37" s="1" t="s">
        <v>86</v>
      </c>
    </row>
    <row r="41" spans="1:17">
      <c r="D41" s="5"/>
    </row>
    <row r="42" spans="1:17">
      <c r="D42" s="5"/>
    </row>
    <row r="43" spans="1:17">
      <c r="D43" s="5"/>
    </row>
    <row r="47" spans="1:17">
      <c r="M47" s="5"/>
      <c r="N47" s="5"/>
    </row>
    <row r="60" spans="3:16">
      <c r="C60" s="4"/>
      <c r="D60" s="17"/>
      <c r="E60" s="46"/>
      <c r="F60" s="5"/>
      <c r="G60" s="5"/>
      <c r="H60" s="5"/>
      <c r="I60" s="5"/>
      <c r="J60" s="5"/>
      <c r="K60" s="5"/>
      <c r="L60" s="5"/>
      <c r="M60" s="5"/>
      <c r="N60" s="5"/>
      <c r="O60" s="5"/>
      <c r="P60" s="5"/>
    </row>
    <row r="61" spans="3:16">
      <c r="C61" s="5"/>
      <c r="D61" s="5"/>
      <c r="E61" s="5"/>
      <c r="F61" s="5"/>
      <c r="G61" s="5"/>
      <c r="H61" s="5"/>
      <c r="I61" s="5"/>
      <c r="J61" s="5"/>
      <c r="K61" s="5"/>
      <c r="L61" s="5"/>
      <c r="M61" s="5"/>
      <c r="N61" s="5"/>
      <c r="O61" s="5"/>
      <c r="P61" s="5"/>
    </row>
    <row r="62" spans="3:16">
      <c r="C62" s="5"/>
      <c r="D62" s="5"/>
      <c r="E62" s="5"/>
      <c r="F62" s="5"/>
      <c r="G62" s="5"/>
      <c r="H62" s="5"/>
      <c r="I62" s="17"/>
      <c r="J62" s="17"/>
      <c r="K62" s="5"/>
      <c r="L62" s="5"/>
      <c r="M62" s="5"/>
      <c r="N62" s="5"/>
      <c r="O62" s="5"/>
      <c r="P62" s="5"/>
    </row>
    <row r="63" spans="3:16">
      <c r="C63" s="5"/>
      <c r="D63" s="5"/>
      <c r="E63" s="5"/>
      <c r="F63" s="5"/>
      <c r="G63" s="17"/>
      <c r="H63" s="5"/>
      <c r="I63" s="5"/>
      <c r="J63" s="5"/>
      <c r="K63" s="5"/>
      <c r="L63" s="5"/>
      <c r="M63" s="5"/>
      <c r="N63" s="5"/>
      <c r="O63" s="5"/>
      <c r="P63" s="5"/>
    </row>
    <row r="64" spans="3:16">
      <c r="C64" s="5"/>
      <c r="D64" s="5"/>
      <c r="E64" s="5"/>
      <c r="F64" s="5"/>
      <c r="G64" s="5"/>
      <c r="H64" s="5"/>
      <c r="I64" s="5"/>
      <c r="J64" s="5"/>
      <c r="K64" s="5"/>
      <c r="L64" s="5"/>
      <c r="M64" s="5"/>
      <c r="N64" s="5"/>
      <c r="O64" s="5"/>
      <c r="P64" s="5"/>
    </row>
    <row r="65" spans="3:16">
      <c r="C65" s="5"/>
      <c r="D65" s="5"/>
      <c r="E65" s="5"/>
      <c r="F65" s="5"/>
      <c r="G65" s="5"/>
      <c r="H65" s="5"/>
      <c r="I65" s="5"/>
      <c r="J65" s="5"/>
      <c r="K65" s="5"/>
      <c r="L65" s="5"/>
      <c r="M65" s="5"/>
      <c r="N65" s="5"/>
      <c r="O65" s="5"/>
      <c r="P65" s="5"/>
    </row>
    <row r="66" spans="3:16">
      <c r="C66" s="5"/>
      <c r="D66" s="5"/>
      <c r="E66" s="5"/>
      <c r="F66" s="5"/>
      <c r="G66" s="5"/>
      <c r="H66" s="5"/>
      <c r="I66" s="5"/>
      <c r="J66" s="5"/>
      <c r="K66" s="5"/>
      <c r="L66" s="5"/>
      <c r="M66" s="5"/>
      <c r="N66" s="5"/>
      <c r="O66" s="5"/>
      <c r="P66" s="5"/>
    </row>
    <row r="67" spans="3:16">
      <c r="C67" s="5"/>
      <c r="D67" s="5"/>
      <c r="E67" s="5"/>
      <c r="F67" s="5"/>
      <c r="G67" s="5"/>
      <c r="H67" s="5"/>
      <c r="I67" s="5"/>
      <c r="J67" s="5"/>
      <c r="K67" s="5"/>
      <c r="L67" s="5"/>
      <c r="M67" s="5"/>
      <c r="N67" s="5"/>
      <c r="O67" s="5"/>
      <c r="P67" s="5"/>
    </row>
    <row r="68" spans="3:16">
      <c r="C68" s="5"/>
      <c r="D68" s="5"/>
      <c r="E68" s="5"/>
      <c r="F68" s="5"/>
      <c r="G68" s="5"/>
      <c r="H68" s="5"/>
      <c r="I68" s="5"/>
      <c r="J68" s="5"/>
      <c r="K68" s="5"/>
      <c r="L68" s="5"/>
      <c r="M68" s="5"/>
      <c r="N68" s="5"/>
      <c r="O68" s="5"/>
      <c r="P68" s="5"/>
    </row>
    <row r="69" spans="3:16">
      <c r="C69" s="5"/>
      <c r="D69" s="5"/>
      <c r="E69" s="5"/>
      <c r="F69" s="5"/>
      <c r="G69" s="17"/>
      <c r="H69" s="5"/>
      <c r="I69" s="5"/>
      <c r="J69" s="5"/>
      <c r="K69" s="5"/>
      <c r="L69" s="5"/>
      <c r="M69" s="5"/>
      <c r="N69" s="5"/>
      <c r="O69" s="5"/>
      <c r="P69" s="5"/>
    </row>
    <row r="70" spans="3:16">
      <c r="C70" s="5"/>
      <c r="D70" s="5"/>
      <c r="E70" s="5"/>
      <c r="F70" s="5"/>
      <c r="G70" s="18"/>
      <c r="H70" s="5"/>
      <c r="I70" s="5"/>
      <c r="J70" s="5"/>
      <c r="K70" s="5"/>
      <c r="L70" s="5"/>
      <c r="M70" s="5"/>
      <c r="N70" s="5"/>
      <c r="O70" s="5"/>
      <c r="P70" s="5"/>
    </row>
    <row r="71" spans="3:16">
      <c r="C71" s="5"/>
      <c r="D71" s="5"/>
      <c r="E71" s="5"/>
      <c r="F71" s="5"/>
      <c r="G71" s="5"/>
      <c r="H71" s="5"/>
      <c r="I71" s="5"/>
      <c r="J71" s="5"/>
      <c r="K71" s="5"/>
      <c r="L71" s="5"/>
      <c r="M71" s="5"/>
      <c r="N71" s="5"/>
      <c r="O71" s="5"/>
      <c r="P71" s="5"/>
    </row>
    <row r="72" spans="3:16">
      <c r="C72" s="5"/>
      <c r="D72" s="5"/>
      <c r="E72" s="5"/>
      <c r="F72" s="5"/>
      <c r="G72" s="18"/>
      <c r="H72" s="5"/>
      <c r="I72" s="5"/>
      <c r="J72" s="5"/>
      <c r="K72" s="5"/>
      <c r="L72" s="5"/>
      <c r="M72" s="5"/>
      <c r="N72" s="5"/>
      <c r="O72" s="5"/>
      <c r="P72" s="5"/>
    </row>
    <row r="73" spans="3:16">
      <c r="C73" s="5"/>
      <c r="D73" s="5"/>
      <c r="E73" s="5"/>
      <c r="F73" s="5"/>
      <c r="G73" s="5"/>
      <c r="H73" s="5"/>
      <c r="I73" s="5"/>
      <c r="J73" s="5"/>
      <c r="K73" s="5"/>
      <c r="L73" s="5"/>
      <c r="M73" s="5"/>
      <c r="N73" s="5"/>
      <c r="O73" s="5"/>
      <c r="P73" s="5"/>
    </row>
    <row r="74" spans="3:16">
      <c r="C74" s="5"/>
      <c r="D74" s="5"/>
      <c r="E74" s="5"/>
      <c r="F74" s="5"/>
      <c r="G74" s="5"/>
      <c r="H74" s="5"/>
      <c r="I74" s="5"/>
      <c r="J74" s="5"/>
      <c r="K74" s="5"/>
      <c r="L74" s="5"/>
      <c r="M74" s="5"/>
      <c r="N74" s="5"/>
      <c r="O74" s="5"/>
      <c r="P74" s="5"/>
    </row>
    <row r="75" spans="3:16">
      <c r="C75" s="5"/>
      <c r="D75" s="5"/>
      <c r="E75" s="5"/>
      <c r="F75" s="5"/>
      <c r="G75" s="5"/>
      <c r="H75" s="5"/>
      <c r="I75" s="5"/>
      <c r="J75" s="5"/>
      <c r="K75" s="5"/>
      <c r="L75" s="5"/>
      <c r="M75" s="5"/>
      <c r="N75" s="5"/>
      <c r="O75" s="5"/>
      <c r="P75" s="5"/>
    </row>
    <row r="76" spans="3:16">
      <c r="C76" s="5"/>
      <c r="D76" s="5"/>
      <c r="E76" s="5"/>
      <c r="F76" s="5"/>
      <c r="G76" s="5"/>
      <c r="H76" s="5"/>
      <c r="I76" s="5"/>
      <c r="J76" s="5"/>
      <c r="K76" s="5"/>
      <c r="L76" s="5"/>
      <c r="M76" s="5"/>
      <c r="N76" s="5"/>
      <c r="O76" s="5"/>
      <c r="P76" s="5"/>
    </row>
    <row r="77" spans="3:16">
      <c r="C77" s="5"/>
      <c r="D77" s="5"/>
      <c r="E77" s="5"/>
      <c r="F77" s="5"/>
      <c r="G77" s="5"/>
      <c r="H77" s="5"/>
      <c r="I77" s="5"/>
      <c r="J77" s="5"/>
      <c r="K77" s="5"/>
      <c r="L77" s="5"/>
      <c r="M77" s="5"/>
      <c r="N77" s="5"/>
      <c r="O77" s="5"/>
      <c r="P77" s="5"/>
    </row>
    <row r="78" spans="3:16">
      <c r="C78" s="5"/>
      <c r="D78" s="5"/>
      <c r="E78" s="5"/>
      <c r="F78" s="5"/>
      <c r="G78" s="5"/>
      <c r="H78" s="5"/>
      <c r="I78" s="5"/>
      <c r="J78" s="5"/>
      <c r="K78" s="5"/>
      <c r="L78" s="5"/>
      <c r="M78" s="5"/>
      <c r="N78" s="5"/>
      <c r="O78" s="5"/>
      <c r="P78" s="5"/>
    </row>
    <row r="79" spans="3:16">
      <c r="C79" s="5"/>
      <c r="D79" s="5"/>
      <c r="E79" s="5"/>
      <c r="F79" s="5"/>
      <c r="G79" s="5"/>
      <c r="H79" s="5"/>
      <c r="I79" s="5"/>
      <c r="J79" s="5"/>
      <c r="K79" s="5"/>
      <c r="L79" s="5"/>
      <c r="M79" s="5"/>
      <c r="N79" s="5"/>
      <c r="O79" s="5"/>
      <c r="P79" s="5"/>
    </row>
    <row r="80" spans="3:16">
      <c r="C80" s="5"/>
      <c r="D80" s="5"/>
      <c r="E80" s="5"/>
      <c r="F80" s="5"/>
      <c r="G80" s="5"/>
      <c r="H80" s="5"/>
      <c r="I80" s="5"/>
      <c r="J80" s="5"/>
      <c r="K80" s="5"/>
      <c r="L80" s="5"/>
      <c r="M80" s="5"/>
      <c r="N80" s="5"/>
      <c r="O80" s="5"/>
      <c r="P80" s="5"/>
    </row>
    <row r="84" spans="3:14">
      <c r="C84" s="5"/>
      <c r="D84" s="5"/>
      <c r="E84" s="5"/>
      <c r="F84" s="5"/>
      <c r="G84" s="5"/>
      <c r="H84" s="5"/>
      <c r="I84" s="5"/>
      <c r="J84" s="5"/>
      <c r="K84" s="5"/>
      <c r="L84" s="5"/>
      <c r="M84" s="5"/>
      <c r="N84" s="5"/>
    </row>
    <row r="85" spans="3:14">
      <c r="C85" s="5"/>
      <c r="D85" s="5"/>
      <c r="E85" s="157"/>
      <c r="F85" s="5"/>
      <c r="G85" s="155"/>
      <c r="H85" s="155"/>
      <c r="I85" s="155"/>
      <c r="J85" s="5"/>
      <c r="K85" s="156"/>
      <c r="L85" s="156"/>
      <c r="M85" s="156"/>
      <c r="N85" s="156"/>
    </row>
    <row r="86" spans="3:14">
      <c r="C86" s="5"/>
      <c r="D86" s="5"/>
      <c r="E86" s="157"/>
      <c r="F86" s="5"/>
      <c r="G86" s="5"/>
      <c r="H86" s="5"/>
      <c r="I86" s="5"/>
      <c r="J86" s="5"/>
      <c r="K86" s="5"/>
      <c r="L86" s="5"/>
      <c r="M86" s="5"/>
      <c r="N86" s="5"/>
    </row>
    <row r="87" spans="3:14">
      <c r="C87" s="5"/>
      <c r="D87" s="5"/>
      <c r="E87" s="5"/>
      <c r="F87" s="5"/>
      <c r="G87" s="5"/>
      <c r="H87" s="5"/>
      <c r="I87" s="5"/>
      <c r="J87" s="5"/>
      <c r="K87" s="5"/>
      <c r="L87" s="5"/>
      <c r="M87" s="5"/>
      <c r="N87" s="5"/>
    </row>
    <row r="88" spans="3:14">
      <c r="C88" s="5"/>
      <c r="D88" s="5"/>
      <c r="E88" s="5"/>
      <c r="F88" s="5"/>
      <c r="G88" s="5"/>
      <c r="H88" s="5"/>
      <c r="I88" s="5"/>
      <c r="J88" s="5"/>
      <c r="K88" s="5"/>
      <c r="L88" s="5"/>
      <c r="M88" s="5"/>
      <c r="N88" s="5"/>
    </row>
    <row r="89" spans="3:14">
      <c r="C89" s="5"/>
      <c r="D89" s="5"/>
      <c r="E89" s="5"/>
      <c r="F89" s="5"/>
      <c r="G89" s="5"/>
      <c r="H89" s="5"/>
      <c r="I89" s="5"/>
      <c r="J89" s="5"/>
      <c r="K89" s="5"/>
      <c r="L89" s="5"/>
      <c r="M89" s="5"/>
      <c r="N89" s="5"/>
    </row>
    <row r="90" spans="3:14">
      <c r="C90" s="5"/>
      <c r="D90" s="5"/>
      <c r="E90" s="5"/>
      <c r="F90" s="5"/>
      <c r="G90" s="5"/>
      <c r="H90" s="5"/>
      <c r="I90" s="5"/>
      <c r="J90" s="5"/>
      <c r="K90" s="5"/>
      <c r="L90" s="5"/>
      <c r="M90" s="5"/>
      <c r="N90" s="5"/>
    </row>
  </sheetData>
  <sheetProtection password="C456" sheet="1" objects="1" scenarios="1"/>
  <mergeCells count="3">
    <mergeCell ref="E85:E86"/>
    <mergeCell ref="G85:I85"/>
    <mergeCell ref="K85:N85"/>
  </mergeCells>
  <pageMargins left="0.7" right="0.7" top="0.75" bottom="0.75" header="0.3" footer="0.3"/>
  <pageSetup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dimension ref="A8:R70"/>
  <sheetViews>
    <sheetView showGridLines="0" showRowColHeaders="0" workbookViewId="0">
      <selection activeCell="A22" sqref="A22"/>
    </sheetView>
  </sheetViews>
  <sheetFormatPr defaultColWidth="9.140625" defaultRowHeight="15"/>
  <cols>
    <col min="1" max="1" width="5.28515625" style="1" customWidth="1"/>
    <col min="2" max="2" width="2.42578125" style="1" customWidth="1"/>
    <col min="3" max="3" width="15.140625" style="1" customWidth="1"/>
    <col min="4" max="4" width="31.42578125" style="1" customWidth="1"/>
    <col min="5" max="5" width="11.7109375" style="1" customWidth="1"/>
    <col min="6" max="6" width="9.140625" style="1" customWidth="1"/>
    <col min="7" max="7" width="2.42578125" style="1" customWidth="1"/>
    <col min="8" max="8" width="33.140625" style="1" customWidth="1"/>
    <col min="9" max="9" width="11" style="1" customWidth="1"/>
    <col min="10" max="10" width="5.28515625" style="1" customWidth="1"/>
    <col min="11" max="11" width="2.42578125" style="1" customWidth="1"/>
    <col min="12" max="12" width="23.140625" style="1" bestFit="1" customWidth="1"/>
    <col min="13" max="13" width="9.85546875" style="1" customWidth="1"/>
    <col min="14" max="14" width="15.140625" style="1" customWidth="1"/>
    <col min="15" max="15" width="2.42578125" style="1" customWidth="1"/>
    <col min="16" max="16" width="15.85546875" style="1" customWidth="1"/>
    <col min="17" max="16384" width="9.140625" style="1"/>
  </cols>
  <sheetData>
    <row r="8" spans="3:18">
      <c r="R8" s="2"/>
    </row>
    <row r="16" spans="3:18">
      <c r="C16" s="15"/>
      <c r="D16" s="15"/>
      <c r="E16" s="15"/>
      <c r="F16" s="15"/>
      <c r="G16" s="15"/>
      <c r="H16" s="15"/>
      <c r="I16" s="15"/>
      <c r="J16" s="15"/>
      <c r="K16" s="15"/>
      <c r="L16" s="15"/>
      <c r="M16" s="15"/>
      <c r="N16" s="15"/>
    </row>
    <row r="17" spans="2:15">
      <c r="C17" s="15"/>
      <c r="D17" s="15"/>
      <c r="E17" s="15"/>
      <c r="F17" s="15"/>
      <c r="G17" s="15"/>
      <c r="H17" s="15"/>
      <c r="I17" s="15"/>
      <c r="J17" s="15"/>
      <c r="K17" s="15"/>
      <c r="L17" s="15"/>
      <c r="M17" s="15"/>
      <c r="N17" s="15"/>
    </row>
    <row r="18" spans="2:15">
      <c r="C18" s="15"/>
      <c r="D18" s="15"/>
      <c r="E18" s="15"/>
      <c r="F18" s="15"/>
      <c r="G18" s="15"/>
      <c r="H18" s="15"/>
      <c r="I18" s="15"/>
      <c r="J18" s="15"/>
      <c r="K18" s="15"/>
      <c r="L18" s="15"/>
      <c r="M18" s="15"/>
      <c r="N18" s="15"/>
    </row>
    <row r="19" spans="2:15">
      <c r="C19" s="15"/>
      <c r="D19" s="15"/>
      <c r="E19" s="15"/>
      <c r="F19" s="15"/>
      <c r="G19" s="15"/>
      <c r="H19" s="15"/>
      <c r="I19" s="15"/>
      <c r="J19" s="15"/>
      <c r="K19" s="15"/>
      <c r="L19" s="15"/>
      <c r="M19" s="15"/>
      <c r="N19" s="15"/>
    </row>
    <row r="20" spans="2:15" s="3" customFormat="1" ht="30">
      <c r="C20" s="126" t="s">
        <v>127</v>
      </c>
      <c r="D20" s="21" t="s">
        <v>33</v>
      </c>
      <c r="F20" s="89"/>
      <c r="G20" s="89"/>
      <c r="H20" s="89"/>
      <c r="I20" s="89"/>
      <c r="J20" s="89"/>
    </row>
    <row r="21" spans="2:15">
      <c r="B21" s="127"/>
      <c r="C21" s="140">
        <v>1600</v>
      </c>
      <c r="D21" s="5"/>
      <c r="E21" s="89"/>
      <c r="F21" s="89"/>
      <c r="G21" s="89"/>
      <c r="H21" s="89"/>
      <c r="I21" s="89"/>
      <c r="J21" s="89"/>
    </row>
    <row r="22" spans="2:15">
      <c r="C22" s="33"/>
      <c r="E22" s="89"/>
      <c r="F22" s="89"/>
      <c r="G22" s="89"/>
      <c r="H22" s="89"/>
      <c r="I22" s="89"/>
      <c r="J22" s="89"/>
    </row>
    <row r="23" spans="2:15">
      <c r="C23" s="33"/>
      <c r="E23" s="89"/>
      <c r="F23" s="89"/>
      <c r="G23" s="89"/>
      <c r="H23" s="89"/>
      <c r="I23" s="89"/>
      <c r="J23" s="89"/>
    </row>
    <row r="24" spans="2:15">
      <c r="C24" s="20"/>
      <c r="E24" s="89"/>
      <c r="F24" s="89"/>
      <c r="G24" s="89"/>
      <c r="H24" s="89"/>
      <c r="I24" s="89"/>
      <c r="J24" s="89"/>
    </row>
    <row r="25" spans="2:15" ht="18.75">
      <c r="B25" s="37"/>
      <c r="C25" s="40" t="s">
        <v>6</v>
      </c>
      <c r="D25" s="15"/>
      <c r="E25" s="15"/>
      <c r="G25" s="54"/>
      <c r="H25" s="40" t="s">
        <v>155</v>
      </c>
      <c r="I25" s="15"/>
      <c r="J25" s="15"/>
      <c r="K25" s="53"/>
      <c r="L25" s="59" t="s">
        <v>154</v>
      </c>
      <c r="M25" s="3"/>
      <c r="N25" s="3"/>
      <c r="O25" s="3"/>
    </row>
    <row r="26" spans="2:15" s="19" customFormat="1">
      <c r="B26" s="13"/>
      <c r="C26" s="46" t="s">
        <v>145</v>
      </c>
      <c r="D26" s="5" t="s">
        <v>585</v>
      </c>
      <c r="E26" s="96">
        <f>(((9.4*C21/28800)*Values!$AB$11)/(1-0.008))/(1-Values!D6)*2</f>
        <v>1.0528673835125448</v>
      </c>
      <c r="G26" s="55"/>
      <c r="H26" s="1" t="s">
        <v>149</v>
      </c>
      <c r="I26" s="100">
        <f>10*Values!AB11</f>
        <v>10</v>
      </c>
      <c r="K26" s="52"/>
      <c r="L26" s="5" t="s">
        <v>139</v>
      </c>
      <c r="M26" s="99">
        <f>IF(Values!D5=2,Values!Q9,E26)</f>
        <v>1.0528673835125448</v>
      </c>
      <c r="N26" s="1"/>
      <c r="O26" s="1"/>
    </row>
    <row r="27" spans="2:15">
      <c r="B27" s="13"/>
      <c r="C27" s="2"/>
      <c r="G27" s="54"/>
      <c r="H27" s="1" t="s">
        <v>150</v>
      </c>
      <c r="I27" s="100">
        <f>40*Values!AB11</f>
        <v>40</v>
      </c>
      <c r="K27" s="52"/>
    </row>
    <row r="28" spans="2:15">
      <c r="B28" s="38"/>
      <c r="C28" s="46" t="s">
        <v>146</v>
      </c>
      <c r="D28" s="5" t="s">
        <v>586</v>
      </c>
      <c r="E28" s="95" t="s">
        <v>329</v>
      </c>
      <c r="G28" s="56"/>
      <c r="K28" s="52"/>
      <c r="L28" s="18"/>
    </row>
    <row r="29" spans="2:15">
      <c r="B29" s="13"/>
      <c r="C29" s="2"/>
      <c r="G29" s="54"/>
      <c r="H29" s="5" t="s">
        <v>599</v>
      </c>
      <c r="I29" s="98">
        <v>0.2</v>
      </c>
      <c r="J29" s="67"/>
      <c r="K29" s="53"/>
      <c r="M29" s="3"/>
      <c r="O29" s="5"/>
    </row>
    <row r="30" spans="2:15" s="6" customFormat="1">
      <c r="B30" s="13"/>
      <c r="C30" s="46" t="s">
        <v>147</v>
      </c>
      <c r="D30" s="5" t="s">
        <v>587</v>
      </c>
      <c r="E30" s="97">
        <f>IF(Values!D5=2,((E32*E26)-(E26-(E26*(1-Values!D6))))/(1-E32),0)</f>
        <v>0</v>
      </c>
      <c r="G30" s="54"/>
      <c r="H30" s="5" t="s">
        <v>600</v>
      </c>
      <c r="I30" s="102">
        <v>0.8</v>
      </c>
      <c r="J30" s="68"/>
      <c r="K30" s="52"/>
      <c r="L30" s="19"/>
      <c r="M30" s="19"/>
      <c r="N30" s="19"/>
      <c r="O30" s="19"/>
    </row>
    <row r="31" spans="2:15">
      <c r="B31" s="39"/>
      <c r="C31" s="4"/>
      <c r="D31" s="5" t="s">
        <v>588</v>
      </c>
      <c r="E31" s="146">
        <f>IF(Values!D5=2,15.7%,0)</f>
        <v>0</v>
      </c>
      <c r="G31" s="57"/>
      <c r="K31" s="52"/>
    </row>
    <row r="32" spans="2:15">
      <c r="B32" s="39"/>
      <c r="C32" s="46"/>
      <c r="D32" s="5" t="s">
        <v>589</v>
      </c>
      <c r="E32" s="147">
        <f>IF(Values!D5=2,90.16%,0)</f>
        <v>0</v>
      </c>
      <c r="G32" s="57"/>
      <c r="K32" s="52"/>
    </row>
    <row r="33" spans="1:18">
      <c r="B33" s="39"/>
      <c r="G33" s="57"/>
      <c r="K33" s="51"/>
    </row>
    <row r="34" spans="1:18">
      <c r="G34" s="19"/>
      <c r="I34" s="6"/>
      <c r="J34" s="6"/>
      <c r="K34" s="19"/>
      <c r="M34" s="6"/>
      <c r="N34" s="6"/>
      <c r="O34" s="6"/>
    </row>
    <row r="35" spans="1:18">
      <c r="G35" s="19"/>
      <c r="K35" s="19"/>
    </row>
    <row r="36" spans="1:18">
      <c r="G36" s="19"/>
      <c r="I36" s="1" t="s">
        <v>86</v>
      </c>
    </row>
    <row r="37" spans="1:18">
      <c r="G37" s="31"/>
    </row>
    <row r="38" spans="1:18">
      <c r="A38" s="5"/>
      <c r="B38" s="5"/>
      <c r="C38" s="5"/>
      <c r="G38" s="19"/>
    </row>
    <row r="39" spans="1:18">
      <c r="G39" s="19"/>
    </row>
    <row r="40" spans="1:18">
      <c r="G40" s="19"/>
    </row>
    <row r="42" spans="1:18">
      <c r="R42" s="5"/>
    </row>
    <row r="43" spans="1:18">
      <c r="F43" s="5"/>
      <c r="G43" s="5"/>
      <c r="H43" s="5"/>
      <c r="I43" s="5"/>
      <c r="J43" s="5"/>
      <c r="K43" s="5"/>
      <c r="L43" s="5"/>
    </row>
    <row r="44" spans="1:18">
      <c r="F44" s="5"/>
      <c r="G44" s="5"/>
      <c r="H44" s="17"/>
      <c r="I44" s="17"/>
      <c r="J44" s="17"/>
      <c r="K44" s="5"/>
      <c r="L44" s="17"/>
    </row>
    <row r="45" spans="1:18">
      <c r="F45" s="17"/>
      <c r="G45" s="5"/>
      <c r="H45" s="5"/>
      <c r="I45" s="5"/>
      <c r="J45" s="5"/>
      <c r="K45" s="5"/>
      <c r="L45" s="5"/>
    </row>
    <row r="46" spans="1:18">
      <c r="F46" s="5"/>
      <c r="G46" s="5"/>
      <c r="H46" s="5"/>
      <c r="I46" s="5"/>
      <c r="J46" s="5"/>
      <c r="K46" s="5"/>
      <c r="L46" s="5"/>
    </row>
    <row r="47" spans="1:18">
      <c r="F47" s="5"/>
      <c r="G47" s="5"/>
      <c r="H47" s="5"/>
      <c r="I47" s="5"/>
      <c r="J47" s="5"/>
      <c r="K47" s="5"/>
      <c r="L47" s="5"/>
    </row>
    <row r="48" spans="1:18">
      <c r="F48" s="5"/>
      <c r="G48" s="5"/>
      <c r="H48" s="5"/>
      <c r="I48" s="5"/>
      <c r="J48" s="5"/>
      <c r="K48" s="5"/>
      <c r="L48" s="5"/>
    </row>
    <row r="49" spans="1:14">
      <c r="F49" s="5"/>
      <c r="G49" s="5"/>
      <c r="H49" s="5"/>
      <c r="I49" s="5"/>
      <c r="J49" s="5"/>
      <c r="K49" s="5"/>
      <c r="L49" s="5"/>
    </row>
    <row r="50" spans="1:14">
      <c r="F50" s="5"/>
      <c r="G50" s="5"/>
      <c r="H50" s="5"/>
      <c r="I50" s="5"/>
      <c r="J50" s="5"/>
      <c r="K50" s="5"/>
      <c r="L50" s="5"/>
    </row>
    <row r="51" spans="1:14">
      <c r="F51" s="17"/>
      <c r="G51" s="5"/>
      <c r="H51" s="5"/>
      <c r="I51" s="5"/>
      <c r="J51" s="5"/>
      <c r="K51" s="5"/>
      <c r="L51" s="5"/>
    </row>
    <row r="52" spans="1:14">
      <c r="F52" s="18"/>
      <c r="G52" s="5"/>
      <c r="H52" s="5"/>
      <c r="I52" s="5"/>
      <c r="J52" s="5"/>
      <c r="K52" s="5"/>
      <c r="L52" s="5"/>
    </row>
    <row r="53" spans="1:14">
      <c r="F53" s="5"/>
      <c r="G53" s="5"/>
      <c r="H53" s="5"/>
      <c r="I53" s="5"/>
      <c r="J53" s="5"/>
      <c r="K53" s="5"/>
      <c r="L53" s="5"/>
    </row>
    <row r="54" spans="1:14">
      <c r="F54" s="18"/>
      <c r="G54" s="5"/>
      <c r="H54" s="5"/>
      <c r="I54" s="5"/>
      <c r="J54" s="5"/>
      <c r="K54" s="5"/>
      <c r="L54" s="5"/>
    </row>
    <row r="55" spans="1:14">
      <c r="F55" s="5"/>
      <c r="G55" s="5"/>
      <c r="H55" s="5"/>
      <c r="I55" s="5"/>
      <c r="J55" s="5"/>
      <c r="K55" s="5"/>
      <c r="L55" s="5"/>
    </row>
    <row r="56" spans="1:14">
      <c r="F56" s="5"/>
      <c r="G56" s="5"/>
      <c r="H56" s="5"/>
      <c r="I56" s="5"/>
      <c r="J56" s="5"/>
      <c r="K56" s="5"/>
      <c r="L56" s="5"/>
    </row>
    <row r="57" spans="1:14">
      <c r="F57" s="5"/>
      <c r="G57" s="5"/>
      <c r="H57" s="5"/>
      <c r="I57" s="5"/>
      <c r="J57" s="5"/>
      <c r="K57" s="5"/>
      <c r="L57" s="5"/>
    </row>
    <row r="58" spans="1:14">
      <c r="F58" s="5"/>
      <c r="G58" s="5"/>
      <c r="H58" s="5"/>
      <c r="I58" s="5"/>
      <c r="J58" s="5"/>
      <c r="K58" s="5"/>
      <c r="L58" s="5"/>
    </row>
    <row r="59" spans="1:14">
      <c r="F59" s="5"/>
      <c r="G59" s="5"/>
      <c r="H59" s="5"/>
      <c r="I59" s="5"/>
      <c r="J59" s="5"/>
      <c r="K59" s="5"/>
      <c r="L59" s="5"/>
    </row>
    <row r="60" spans="1:14">
      <c r="F60" s="5"/>
      <c r="G60" s="5"/>
      <c r="H60" s="5"/>
      <c r="I60" s="5"/>
      <c r="J60" s="5"/>
      <c r="K60" s="5"/>
      <c r="L60" s="5"/>
    </row>
    <row r="63" spans="1:14">
      <c r="A63" s="5"/>
      <c r="B63" s="5"/>
      <c r="C63" s="5"/>
      <c r="D63" s="5"/>
      <c r="E63" s="5"/>
      <c r="F63" s="5"/>
      <c r="G63" s="5"/>
      <c r="H63" s="5"/>
      <c r="I63" s="5"/>
      <c r="J63" s="5"/>
      <c r="K63" s="5"/>
      <c r="L63" s="5"/>
      <c r="M63" s="5"/>
      <c r="N63" s="5"/>
    </row>
    <row r="64" spans="1:14">
      <c r="A64" s="5"/>
      <c r="B64" s="5"/>
      <c r="C64" s="5"/>
      <c r="D64" s="5"/>
      <c r="E64" s="5"/>
      <c r="F64" s="5"/>
      <c r="G64" s="5"/>
      <c r="H64" s="5"/>
      <c r="I64" s="5"/>
      <c r="J64" s="5"/>
      <c r="K64" s="5"/>
      <c r="L64" s="5"/>
      <c r="M64" s="5"/>
      <c r="N64" s="5"/>
    </row>
    <row r="65" spans="1:14">
      <c r="A65" s="5"/>
      <c r="B65" s="5"/>
      <c r="C65" s="5"/>
      <c r="D65" s="5"/>
      <c r="E65" s="5"/>
      <c r="F65" s="5"/>
      <c r="G65" s="5"/>
      <c r="H65" s="5"/>
      <c r="I65" s="5"/>
      <c r="J65" s="5"/>
      <c r="K65" s="5"/>
      <c r="L65" s="5"/>
      <c r="M65" s="5"/>
      <c r="N65" s="5"/>
    </row>
    <row r="66" spans="1:14">
      <c r="A66" s="5"/>
      <c r="B66" s="5"/>
      <c r="C66" s="5"/>
      <c r="D66" s="5"/>
      <c r="E66" s="5"/>
      <c r="F66" s="5"/>
      <c r="G66" s="5"/>
      <c r="H66" s="5"/>
      <c r="I66" s="5"/>
      <c r="J66" s="5"/>
      <c r="K66" s="5"/>
      <c r="L66" s="5"/>
      <c r="M66" s="5"/>
      <c r="N66" s="5"/>
    </row>
    <row r="67" spans="1:14">
      <c r="A67" s="5"/>
      <c r="B67" s="5"/>
      <c r="C67" s="5"/>
      <c r="D67" s="5"/>
      <c r="E67" s="157"/>
      <c r="F67" s="155"/>
      <c r="G67" s="155"/>
      <c r="H67" s="155"/>
      <c r="I67" s="5"/>
      <c r="J67" s="5"/>
      <c r="K67" s="156"/>
      <c r="L67" s="156"/>
      <c r="M67" s="156"/>
      <c r="N67" s="156"/>
    </row>
    <row r="68" spans="1:14">
      <c r="A68" s="5"/>
      <c r="B68" s="5"/>
      <c r="C68" s="5"/>
      <c r="D68" s="5"/>
      <c r="E68" s="157"/>
      <c r="F68" s="5"/>
      <c r="G68" s="5"/>
      <c r="H68" s="5"/>
      <c r="I68" s="5"/>
      <c r="J68" s="5"/>
      <c r="K68" s="5"/>
      <c r="L68" s="5"/>
      <c r="M68" s="5"/>
      <c r="N68" s="5"/>
    </row>
    <row r="69" spans="1:14">
      <c r="A69" s="5"/>
      <c r="B69" s="5"/>
      <c r="C69" s="5"/>
      <c r="D69" s="5"/>
      <c r="E69" s="5"/>
      <c r="F69" s="5"/>
      <c r="G69" s="5"/>
      <c r="H69" s="5"/>
      <c r="I69" s="5"/>
      <c r="J69" s="5"/>
      <c r="K69" s="5"/>
      <c r="L69" s="5"/>
      <c r="M69" s="5"/>
      <c r="N69" s="5"/>
    </row>
    <row r="70" spans="1:14">
      <c r="A70" s="5"/>
      <c r="B70" s="5"/>
      <c r="C70" s="5"/>
      <c r="D70" s="5"/>
      <c r="E70" s="5"/>
      <c r="F70" s="5"/>
      <c r="G70" s="5"/>
      <c r="H70" s="5"/>
      <c r="I70" s="5"/>
      <c r="J70" s="5"/>
      <c r="K70" s="5"/>
      <c r="L70" s="5"/>
      <c r="M70" s="5"/>
      <c r="N70" s="5"/>
    </row>
  </sheetData>
  <sheetProtection password="C456" sheet="1" objects="1" scenarios="1"/>
  <mergeCells count="3">
    <mergeCell ref="E67:E68"/>
    <mergeCell ref="F67:H67"/>
    <mergeCell ref="K67:N67"/>
  </mergeCell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Assigned_x0020_To0 xmlns="07ADD7A4-7F81-4EF1-BBE4-2931959C8605" xsi:nil="true"/>
    <State xmlns="07ADD7A4-7F81-4EF1-BBE4-2931959C8605">Not Started</State>
    <Status xmlns="07ADD7A4-7F81-4EF1-BBE4-2931959C86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36F708E9DCD740AE9C72B27CD2CBB1" ma:contentTypeVersion="0" ma:contentTypeDescription="Create a new document." ma:contentTypeScope="" ma:versionID="a755a668f7de031926a8680435dde6be">
  <xsd:schema xmlns:xsd="http://www.w3.org/2001/XMLSchema" xmlns:p="http://schemas.microsoft.com/office/2006/metadata/properties" xmlns:ns2="07ADD7A4-7F81-4EF1-BBE4-2931959C8605" targetNamespace="http://schemas.microsoft.com/office/2006/metadata/properties" ma:root="true" ma:fieldsID="511edfc117955bcd883e8950f6361bd3" ns2:_="">
    <xsd:import namespace="07ADD7A4-7F81-4EF1-BBE4-2931959C8605"/>
    <xsd:element name="properties">
      <xsd:complexType>
        <xsd:sequence>
          <xsd:element name="documentManagement">
            <xsd:complexType>
              <xsd:all>
                <xsd:element ref="ns2:Assigned_x0020_To0" minOccurs="0"/>
                <xsd:element ref="ns2:State" minOccurs="0"/>
                <xsd:element ref="ns2:Status" minOccurs="0"/>
              </xsd:all>
            </xsd:complexType>
          </xsd:element>
        </xsd:sequence>
      </xsd:complexType>
    </xsd:element>
  </xsd:schema>
  <xsd:schema xmlns:xsd="http://www.w3.org/2001/XMLSchema" xmlns:dms="http://schemas.microsoft.com/office/2006/documentManagement/types" targetNamespace="07ADD7A4-7F81-4EF1-BBE4-2931959C8605" elementFormDefault="qualified">
    <xsd:import namespace="http://schemas.microsoft.com/office/2006/documentManagement/types"/>
    <xsd:element name="Assigned_x0020_To0" ma:index="8" nillable="true" ma:displayName="Assigned To" ma:internalName="Assigned_x0020_To0">
      <xsd:simpleType>
        <xsd:restriction base="dms:Text">
          <xsd:maxLength value="255"/>
        </xsd:restriction>
      </xsd:simpleType>
    </xsd:element>
    <xsd:element name="State" ma:index="9" nillable="true" ma:displayName="State" ma:default="Not Started" ma:format="Dropdown" ma:internalName="State">
      <xsd:simpleType>
        <xsd:restriction base="dms:Choice">
          <xsd:enumeration value="Not Started"/>
          <xsd:enumeration value="Blocked"/>
          <xsd:enumeration value="Cancelled"/>
          <xsd:enumeration value="Writing"/>
          <xsd:enumeration value="Ready for Edit"/>
          <xsd:enumeration value="Editing"/>
          <xsd:enumeration value="Ready for Tech Review"/>
          <xsd:enumeration value="In Tech Review"/>
          <xsd:enumeration value="Ready for Copyedit"/>
          <xsd:enumeration value="In Copyedit"/>
          <xsd:enumeration value="Ready for Peer Review"/>
          <xsd:enumeration value="In Peer Review"/>
          <xsd:enumeration value="Ready for Client Review"/>
          <xsd:enumeration value="In Client Review"/>
          <xsd:enumeration value="Ready for Client Handoff"/>
          <xsd:enumeration value="Content Complete"/>
        </xsd:restriction>
      </xsd:simpleType>
    </xsd:element>
    <xsd:element name="Status" ma:index="10"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40D7329-AD6E-40C8-85B0-E8BF6969EBC5}">
  <ds:schemaRefs>
    <ds:schemaRef ds:uri="http://schemas.microsoft.com/office/2006/metadata/properties"/>
    <ds:schemaRef ds:uri="07ADD7A4-7F81-4EF1-BBE4-2931959C8605"/>
  </ds:schemaRefs>
</ds:datastoreItem>
</file>

<file path=customXml/itemProps2.xml><?xml version="1.0" encoding="utf-8"?>
<ds:datastoreItem xmlns:ds="http://schemas.openxmlformats.org/officeDocument/2006/customXml" ds:itemID="{89F094F0-773E-421D-93F1-822B3FDC80D2}">
  <ds:schemaRefs>
    <ds:schemaRef ds:uri="http://schemas.microsoft.com/sharepoint/v3/contenttype/forms"/>
  </ds:schemaRefs>
</ds:datastoreItem>
</file>

<file path=customXml/itemProps3.xml><?xml version="1.0" encoding="utf-8"?>
<ds:datastoreItem xmlns:ds="http://schemas.openxmlformats.org/officeDocument/2006/customXml" ds:itemID="{A93226B9-CDED-4731-B116-EFB69AF8E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DD7A4-7F81-4EF1-BBE4-2931959C86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Directions</vt:lpstr>
      <vt:lpstr>README</vt:lpstr>
      <vt:lpstr>Start</vt:lpstr>
      <vt:lpstr>Scenario</vt:lpstr>
      <vt:lpstr>New SRA Settings</vt:lpstr>
      <vt:lpstr>New SRA Environment</vt:lpstr>
      <vt:lpstr>New SRA Recommendations</vt:lpstr>
      <vt:lpstr>New ERA Settings</vt:lpstr>
      <vt:lpstr>New ERA Environment</vt:lpstr>
      <vt:lpstr>New ERA Recommendations</vt:lpstr>
      <vt:lpstr>Existing SRA Recommendations</vt:lpstr>
      <vt:lpstr>Existing ERA Recommendations</vt:lpstr>
      <vt:lpstr>Resources</vt:lpstr>
      <vt:lpstr>Values</vt:lpstr>
      <vt:lpstr>Edge Data</vt:lpstr>
      <vt:lpstr>SRA Data</vt:lpstr>
      <vt:lpstr>ERA Data</vt:lpstr>
      <vt:lpstr>'New ERA Environment'!OLE_LINK1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Aaron Suzuki</cp:lastModifiedBy>
  <dcterms:created xsi:type="dcterms:W3CDTF">2009-01-22T16:43:57Z</dcterms:created>
  <dcterms:modified xsi:type="dcterms:W3CDTF">2009-04-16T19:02:46Z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0x0101005136F708E9DCD740AE9C72B27CD2CBB1</vt:lpwstr>
  </property>
</Properties>
</file>