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15" windowWidth="17325" windowHeight="5100" tabRatio="826"/>
  </bookViews>
  <sheets>
    <sheet name="Desktop Campus" sheetId="2" r:id="rId1"/>
    <sheet name="Desktop Campus s Enterprise CAL" sheetId="11" r:id="rId2"/>
    <sheet name="Rozpad Camp. Dsktp a s Ent CAL" sheetId="9" r:id="rId3"/>
    <sheet name="Poznámky" sheetId="12" r:id="rId4"/>
  </sheets>
  <calcPr calcId="125725"/>
</workbook>
</file>

<file path=xl/calcChain.xml><?xml version="1.0" encoding="utf-8"?>
<calcChain xmlns="http://schemas.openxmlformats.org/spreadsheetml/2006/main">
  <c r="G94" i="11"/>
  <c r="F98"/>
  <c r="E98"/>
  <c r="D98"/>
  <c r="C98"/>
  <c r="F94"/>
  <c r="E94"/>
  <c r="D94"/>
  <c r="C94"/>
  <c r="F90"/>
  <c r="E90"/>
  <c r="D90"/>
  <c r="C90"/>
  <c r="F86"/>
  <c r="E86"/>
  <c r="D86"/>
  <c r="C86"/>
  <c r="F82"/>
  <c r="E82"/>
  <c r="D82"/>
  <c r="C82"/>
  <c r="F78"/>
  <c r="E78"/>
  <c r="D78"/>
  <c r="C78"/>
  <c r="F74"/>
  <c r="E74"/>
  <c r="D74"/>
  <c r="C74"/>
  <c r="F70"/>
  <c r="E70"/>
  <c r="D70"/>
  <c r="C70"/>
  <c r="F66"/>
  <c r="E66"/>
  <c r="D66"/>
  <c r="C66"/>
  <c r="F62"/>
  <c r="E62"/>
  <c r="D62"/>
  <c r="C62"/>
  <c r="F58"/>
  <c r="E58"/>
  <c r="D58"/>
  <c r="C58"/>
  <c r="F54"/>
  <c r="E54"/>
  <c r="D54"/>
  <c r="C54"/>
  <c r="C82" i="2"/>
  <c r="C78"/>
  <c r="C74"/>
  <c r="C70"/>
  <c r="C66"/>
  <c r="C62"/>
  <c r="C58"/>
  <c r="C54"/>
  <c r="C50"/>
  <c r="D50" i="11"/>
  <c r="E50"/>
  <c r="F50"/>
  <c r="C50"/>
  <c r="C28" i="9"/>
  <c r="E4"/>
  <c r="D5"/>
  <c r="C5"/>
  <c r="G98" i="11"/>
  <c r="C97"/>
  <c r="E97" s="1"/>
  <c r="F97" s="1"/>
  <c r="C93"/>
  <c r="E93" s="1"/>
  <c r="F93" s="1"/>
  <c r="G90"/>
  <c r="E89"/>
  <c r="F89" s="1"/>
  <c r="D89"/>
  <c r="G86"/>
  <c r="E85"/>
  <c r="F85" s="1"/>
  <c r="D85"/>
  <c r="C34"/>
  <c r="E34" s="1"/>
  <c r="F34" s="1"/>
  <c r="C34" i="2"/>
  <c r="D34" s="1"/>
  <c r="G11"/>
  <c r="F11"/>
  <c r="G82" i="11"/>
  <c r="E81"/>
  <c r="F81" s="1"/>
  <c r="D81"/>
  <c r="G78"/>
  <c r="E77"/>
  <c r="F77" s="1"/>
  <c r="D77"/>
  <c r="G74"/>
  <c r="E73"/>
  <c r="F73" s="1"/>
  <c r="D73"/>
  <c r="G70"/>
  <c r="E69"/>
  <c r="F69" s="1"/>
  <c r="D69"/>
  <c r="G66"/>
  <c r="E65"/>
  <c r="F65" s="1"/>
  <c r="D65"/>
  <c r="G62"/>
  <c r="E61"/>
  <c r="F61" s="1"/>
  <c r="D61"/>
  <c r="G58"/>
  <c r="E57"/>
  <c r="F57" s="1"/>
  <c r="D57"/>
  <c r="G54"/>
  <c r="E53"/>
  <c r="F53" s="1"/>
  <c r="D53"/>
  <c r="G50"/>
  <c r="E49"/>
  <c r="F49" s="1"/>
  <c r="D49"/>
  <c r="G82" i="2"/>
  <c r="G78"/>
  <c r="G74"/>
  <c r="G70"/>
  <c r="G66"/>
  <c r="G62"/>
  <c r="G58"/>
  <c r="G54"/>
  <c r="G50"/>
  <c r="E18" i="11"/>
  <c r="F18" s="1"/>
  <c r="F20" s="1"/>
  <c r="G43"/>
  <c r="F43"/>
  <c r="E43"/>
  <c r="D43"/>
  <c r="C43"/>
  <c r="E42"/>
  <c r="F42" s="1"/>
  <c r="D42"/>
  <c r="G39"/>
  <c r="F39"/>
  <c r="E39"/>
  <c r="D39"/>
  <c r="C39"/>
  <c r="E38"/>
  <c r="F38" s="1"/>
  <c r="D38"/>
  <c r="G35"/>
  <c r="F35"/>
  <c r="E35"/>
  <c r="D35"/>
  <c r="C35"/>
  <c r="D34"/>
  <c r="G31"/>
  <c r="F31"/>
  <c r="E31"/>
  <c r="D31"/>
  <c r="C31"/>
  <c r="E30"/>
  <c r="F30" s="1"/>
  <c r="D30"/>
  <c r="G27"/>
  <c r="F27"/>
  <c r="E27"/>
  <c r="D27"/>
  <c r="C27"/>
  <c r="E26"/>
  <c r="F26" s="1"/>
  <c r="D26"/>
  <c r="G20"/>
  <c r="G5" s="1"/>
  <c r="C20"/>
  <c r="D18"/>
  <c r="D20" s="1"/>
  <c r="F9" s="1"/>
  <c r="F11" s="1"/>
  <c r="E81" i="2"/>
  <c r="F81" s="1"/>
  <c r="F82" s="1"/>
  <c r="D81"/>
  <c r="D82" s="1"/>
  <c r="E77"/>
  <c r="F77" s="1"/>
  <c r="F78" s="1"/>
  <c r="D77"/>
  <c r="D78" s="1"/>
  <c r="E73"/>
  <c r="F73" s="1"/>
  <c r="F74" s="1"/>
  <c r="D73"/>
  <c r="D74" s="1"/>
  <c r="E69"/>
  <c r="F69" s="1"/>
  <c r="F70" s="1"/>
  <c r="D69"/>
  <c r="D70" s="1"/>
  <c r="E65"/>
  <c r="F65" s="1"/>
  <c r="F66" s="1"/>
  <c r="D65"/>
  <c r="D66" s="1"/>
  <c r="E61"/>
  <c r="F61" s="1"/>
  <c r="F62" s="1"/>
  <c r="D61"/>
  <c r="D62" s="1"/>
  <c r="E57"/>
  <c r="F57" s="1"/>
  <c r="F58" s="1"/>
  <c r="D57"/>
  <c r="D58" s="1"/>
  <c r="E53"/>
  <c r="F53" s="1"/>
  <c r="F54" s="1"/>
  <c r="D53"/>
  <c r="D54" s="1"/>
  <c r="E49"/>
  <c r="F49" s="1"/>
  <c r="F50" s="1"/>
  <c r="D49"/>
  <c r="D50" s="1"/>
  <c r="C43"/>
  <c r="C39"/>
  <c r="G43"/>
  <c r="F43"/>
  <c r="E43"/>
  <c r="D43"/>
  <c r="E42"/>
  <c r="F42" s="1"/>
  <c r="D42"/>
  <c r="G39"/>
  <c r="F39"/>
  <c r="E39"/>
  <c r="D39"/>
  <c r="E38"/>
  <c r="F38" s="1"/>
  <c r="D38"/>
  <c r="C35"/>
  <c r="G35"/>
  <c r="F35"/>
  <c r="E35"/>
  <c r="D35"/>
  <c r="E34"/>
  <c r="F34" s="1"/>
  <c r="C31"/>
  <c r="G31"/>
  <c r="F31"/>
  <c r="E31"/>
  <c r="D31"/>
  <c r="E30"/>
  <c r="F30" s="1"/>
  <c r="D30"/>
  <c r="G27"/>
  <c r="F27"/>
  <c r="E27"/>
  <c r="D27"/>
  <c r="D26"/>
  <c r="C27"/>
  <c r="E26"/>
  <c r="F26" s="1"/>
  <c r="D40" i="9"/>
  <c r="D39"/>
  <c r="D38"/>
  <c r="D37"/>
  <c r="D36"/>
  <c r="D35"/>
  <c r="D33"/>
  <c r="D32"/>
  <c r="D31"/>
  <c r="D30"/>
  <c r="D26"/>
  <c r="D25"/>
  <c r="D24"/>
  <c r="D20"/>
  <c r="D16"/>
  <c r="D15"/>
  <c r="D14"/>
  <c r="D13"/>
  <c r="D10"/>
  <c r="D9"/>
  <c r="D8"/>
  <c r="D4"/>
  <c r="C12"/>
  <c r="E10" s="1"/>
  <c r="C48"/>
  <c r="D48" s="1"/>
  <c r="C47"/>
  <c r="D47" s="1"/>
  <c r="C46"/>
  <c r="D46" s="1"/>
  <c r="C45"/>
  <c r="D45" s="1"/>
  <c r="C44"/>
  <c r="D44" s="1"/>
  <c r="C41"/>
  <c r="G20" i="2"/>
  <c r="C20"/>
  <c r="D18"/>
  <c r="D20" s="1"/>
  <c r="E18"/>
  <c r="F18" s="1"/>
  <c r="F20" s="1"/>
  <c r="F9" l="1"/>
  <c r="E50"/>
  <c r="E54"/>
  <c r="E58"/>
  <c r="E62"/>
  <c r="E66"/>
  <c r="E70"/>
  <c r="E74"/>
  <c r="E78"/>
  <c r="E82"/>
  <c r="G5"/>
  <c r="G9" i="11"/>
  <c r="G11" s="1"/>
  <c r="G9" i="2"/>
  <c r="D93" i="11"/>
  <c r="D97"/>
  <c r="C43" i="9"/>
  <c r="D43" s="1"/>
  <c r="D41"/>
  <c r="E41"/>
  <c r="D12"/>
  <c r="E20" i="11"/>
  <c r="E20" i="2"/>
  <c r="E26" i="9" l="1"/>
  <c r="D28"/>
  <c r="C21"/>
  <c r="D21" l="1"/>
  <c r="E20"/>
</calcChain>
</file>

<file path=xl/sharedStrings.xml><?xml version="1.0" encoding="utf-8"?>
<sst xmlns="http://schemas.openxmlformats.org/spreadsheetml/2006/main" count="301" uniqueCount="145">
  <si>
    <t>66J-01156</t>
  </si>
  <si>
    <t>Windows Vista Business All Lng Upg/SA Pack MVL w/VisEnterprise</t>
  </si>
  <si>
    <t>76J-01822</t>
  </si>
  <si>
    <t>Office Enterprise All Lng Lic/SA Pack MVL Campus</t>
  </si>
  <si>
    <t>C27-00002</t>
  </si>
  <si>
    <t>Dsktp Campus All Languages Lic/SA Pack MVL</t>
  </si>
  <si>
    <t>Desktop Campus</t>
  </si>
  <si>
    <t>H05-00176</t>
  </si>
  <si>
    <t>Office SharePoint CAL All Lng Lic/SA Pack MVL Device CAL</t>
  </si>
  <si>
    <t>R18-00095</t>
  </si>
  <si>
    <t>Windows Server CAL All Languages Lic/SA Pack MVL Device CAL</t>
  </si>
  <si>
    <t>228-03159</t>
  </si>
  <si>
    <t>SQL Svr Standard Edtn Win32 All Lng Lic/SA Pack MVL 1 Processor License</t>
  </si>
  <si>
    <t>228-04437</t>
  </si>
  <si>
    <t>SQL Svr Standard Edtn Win32 All Lng Lic/SA Pack MVL</t>
  </si>
  <si>
    <t>312-02177</t>
  </si>
  <si>
    <t>Exchange Svr All Languages Lic/SA Pack MVL</t>
  </si>
  <si>
    <t>359-00765</t>
  </si>
  <si>
    <t>SQL CAL All Languages Lic/SA Pack MVL Device CAL</t>
  </si>
  <si>
    <t>SQL CAL</t>
  </si>
  <si>
    <t>C27-00017</t>
  </si>
  <si>
    <t>Dsktp Campus All Lng Lic/SA Pack MVL w/ Ent CAL</t>
  </si>
  <si>
    <t>9TX-00003</t>
  </si>
  <si>
    <t>OM Client OML All Lng Lic/SA Pack MVL</t>
  </si>
  <si>
    <t>D87-01057</t>
  </si>
  <si>
    <t>Visio Pro Win32 All Languages Lic/SA Pack MVL</t>
  </si>
  <si>
    <t>Visio Professional</t>
  </si>
  <si>
    <t>P73-00203</t>
  </si>
  <si>
    <t>Windows Svr Std All Lng Lic/SA Pack MVL</t>
  </si>
  <si>
    <t>W06-00022</t>
  </si>
  <si>
    <t>Core CAL All Languages Lic/SA Pack MVL Device CAL</t>
  </si>
  <si>
    <t>Název licence</t>
  </si>
  <si>
    <t>Číslo licence</t>
  </si>
  <si>
    <t>Doporučená koncová cena</t>
  </si>
  <si>
    <t>Uvedené ceny jsou bez DPH</t>
  </si>
  <si>
    <t>Doporučená koncová cena se slevou EUNIS</t>
  </si>
  <si>
    <t>Počet členů pedagogického sboru a zaměstnanců</t>
  </si>
  <si>
    <t>Aktuální kurz</t>
  </si>
  <si>
    <t>Počet jednotek</t>
  </si>
  <si>
    <t>Cena a počet jednotek pro instituci</t>
  </si>
  <si>
    <t>Celkový počet jednotek ve smlouvě</t>
  </si>
  <si>
    <t>H30-00237</t>
  </si>
  <si>
    <t>Project Pro Win32 All Languages Lic/SA Pack MVL w/1 ProjectSvr CAL</t>
  </si>
  <si>
    <t>ne</t>
  </si>
  <si>
    <t>MDOP</t>
  </si>
  <si>
    <t>Project Professional s Project Server CAL</t>
  </si>
  <si>
    <t>ano</t>
  </si>
  <si>
    <t>Přidat ano/ne:</t>
  </si>
  <si>
    <t>381-01587</t>
  </si>
  <si>
    <t>Exchange Standard CAL All Lng Lic/SA Pack MVL Device CAL</t>
  </si>
  <si>
    <t>76A-00025</t>
  </si>
  <si>
    <t>Enterprise CAL All Lng Lic/SA Pack MVL Device CAL w/ Svcs</t>
  </si>
  <si>
    <t>4GN-00080</t>
  </si>
  <si>
    <t>ILM Server All Lng Lic/SA Pack MVL Live Edition</t>
  </si>
  <si>
    <t>74H-00002</t>
  </si>
  <si>
    <t>MS Exch Hosted Filtering All Lng Monthly Subscription MVL Per User</t>
  </si>
  <si>
    <t>E84-00308</t>
  </si>
  <si>
    <t>ISA Server Std Ed All Languages Lic/SA Pack MVL 1 Processor License</t>
  </si>
  <si>
    <t>H04-00232</t>
  </si>
  <si>
    <t>Office SharePoint Server All Lng Lic/SA Pack MVL</t>
  </si>
  <si>
    <t>Office SharePoint Server</t>
  </si>
  <si>
    <t>KMA-00246</t>
  </si>
  <si>
    <t>Office Comm Svr Ent CAL All Lng Lic/SA Pack MVL Device CAL</t>
  </si>
  <si>
    <t>KLA-00178</t>
  </si>
  <si>
    <t>Office Comm Svr Std CAL All Lng Lic/SA Pack MVL Device CAL</t>
  </si>
  <si>
    <t>TJA-00501</t>
  </si>
  <si>
    <t>Win Trmnl Svcs CAL All Lng Lic/SA Pack MVL Device CAL</t>
  </si>
  <si>
    <t>56J-00002</t>
  </si>
  <si>
    <t>Antigen Instnt Msging All Lng Monthly Subscription MVL Per User</t>
  </si>
  <si>
    <t>4GN-00042</t>
  </si>
  <si>
    <t>ILM Server All Lng Lic/SA Pack MVL</t>
  </si>
  <si>
    <t>76N-02345</t>
  </si>
  <si>
    <t>SharePoint Enterprise CAL All Lng Lic/SA Pack MVL Device CAL</t>
  </si>
  <si>
    <t>9MB-00880</t>
  </si>
  <si>
    <t>Exchange Ent CAL w Svc All Lng Lic/SA Pack MVL Device CAL</t>
  </si>
  <si>
    <t>9SE-00003</t>
  </si>
  <si>
    <t>Forefront Sec Suite All Lng Monthly Subscription MVL Per User</t>
  </si>
  <si>
    <t>9SH-00050</t>
  </si>
  <si>
    <t>Forefront Sec SharePoint All Lng Monthly Subscription MVL Per User</t>
  </si>
  <si>
    <t>9SG-00050</t>
  </si>
  <si>
    <t>Forefront Sec ExchangeSvr All Lng Monthly Subscription MVL Per User</t>
  </si>
  <si>
    <t>J3A-00167</t>
  </si>
  <si>
    <t>Config Mgr Svr All Lng Lic/SA Pack MVL</t>
  </si>
  <si>
    <t>J5A-00021</t>
  </si>
  <si>
    <t>Config Mgr Clnt Mgmt Lic All Lng Lic/SA Pack MVL Per User</t>
  </si>
  <si>
    <t>UFB-00003</t>
  </si>
  <si>
    <t>Forefront Client Security All Lng Monthly Subscription MVL Per User</t>
  </si>
  <si>
    <t>T98-00796</t>
  </si>
  <si>
    <t>Win Rghts Mgt Svc CAL WinNT All Languages Lic/SA Pack MVL Device CAL</t>
  </si>
  <si>
    <t>Výběr produktů:</t>
  </si>
  <si>
    <t>Vybrané serverové produkty:</t>
  </si>
  <si>
    <t>Forefront Security Suite - jednotlivé komponenty</t>
  </si>
  <si>
    <t>Desktop Campus - jednotlivé komponenty</t>
  </si>
  <si>
    <t>Core CAL - jednotlivé komponenty</t>
  </si>
  <si>
    <t>Desktop Campus s Enterprise CAL</t>
  </si>
  <si>
    <t>Enterprise CAL - jednotlivé komponenty</t>
  </si>
  <si>
    <t>Core CAL</t>
  </si>
  <si>
    <t>Další součásti</t>
  </si>
  <si>
    <t>Doporučená koncová cena v EUR bez DPH</t>
  </si>
  <si>
    <t>Desktop Campus s Enterprise CAL - jednotlivé komponenty</t>
  </si>
  <si>
    <t>Doporučená koncová cena v Kč bez DPH</t>
  </si>
  <si>
    <t>Sleva balíčku</t>
  </si>
  <si>
    <t>Další vybrané desktopové produkty (aplikace a CALy):</t>
  </si>
  <si>
    <t>WSB-00068</t>
  </si>
  <si>
    <t>Dsktp Optimization Pck SA All Lng MonSub MVL PerDevice for WinSA</t>
  </si>
  <si>
    <t>Windows Terminal Services CAL</t>
  </si>
  <si>
    <t>Orientační roční splátka / EUNIS</t>
  </si>
  <si>
    <r>
      <t xml:space="preserve">Campus Agreement verze 3.5 </t>
    </r>
    <r>
      <rPr>
        <b/>
        <sz val="10"/>
        <color theme="3"/>
        <rFont val="Calibri"/>
        <family val="2"/>
        <scheme val="minor"/>
      </rPr>
      <t>(platná od prosince 2007)</t>
    </r>
  </si>
  <si>
    <t>Počet členů pedagogického sboru instituce a jejích zaměstnanců může být přepočtený na plné úvazky (FTE – full time equivalent). Započítejte všechny členy pedagogického sboru a zaměstnance zaměstnané na více než 200 hodin ročně. Můžete vyloučit pracovníky, kteří nepoužívají počítače, např. údržbu, ostrahu, personál stravovacího zařízení apod.Počet kopií jednotlivých softwarových produktů v úvodní objednávce pro členy pedagogického sboru a zaměstnance instituce se musí rovnat číslu uvedenému výše.</t>
  </si>
  <si>
    <t>Počet:</t>
  </si>
  <si>
    <t>SQL Standard procesorová licence</t>
  </si>
  <si>
    <t>Identity Lifecycle Manager Server 2007</t>
  </si>
  <si>
    <t>Identity Lifecycle Manager Server 2007 pro Live</t>
  </si>
  <si>
    <t>SQL Server</t>
  </si>
  <si>
    <t>Internet Security and Acceleration Server Standard Edition</t>
  </si>
  <si>
    <t xml:space="preserve">System Center Configuration Manager </t>
  </si>
  <si>
    <t>Exchange Server</t>
  </si>
  <si>
    <t>Windows Server</t>
  </si>
  <si>
    <t>Poznámky:</t>
  </si>
  <si>
    <t>Vyplňte:</t>
  </si>
  <si>
    <t>počet přepočítaných pracovních úvazků</t>
  </si>
  <si>
    <t>aktuální kurz</t>
  </si>
  <si>
    <t>zda chcete přidat některou z dalších aplikací nebo klientských přístupových licencí</t>
  </si>
  <si>
    <t>počet vybraných serverových licencí</t>
  </si>
  <si>
    <t>Seznam a ceny ostatních licencí produktů Microsoft v tomto multilicenčním programu vám sdělí váš dodavatel.</t>
  </si>
  <si>
    <t>Uvedené ceny jsou bez DPH.</t>
  </si>
  <si>
    <t>Procesorová licence pokrývá neomezené množství přistupujících uživatelů.</t>
  </si>
  <si>
    <t>Balíček Campus Desktop obsahuje nejnovější verze Office Enterprise nebo Office for Mac Professional Edition, Windows Vista Enteprise Upgrade a balíček klientských přístupových licencí Core CAL. Balíček Core CAL obsahuje opět nejnovější verze Windows Server 2008 CAL, Exchange Server 2007 Standard CAL (dříve znám jako Exchange Server CAL), Office SharePoint Server 2007 Standard CAL dříve znám jako SharePoint Portal Server CAL), System Center Configuration Manager 2007 Client Management License.</t>
  </si>
  <si>
    <t xml:space="preserve">Balíček Campus Desktop s Enterprise CAL obsahuje nejnovější verze Office Enterprise nebo Office for Mac Professional Edition, Windows Vista Enteprise Upgrade a balíček klientských přístupových licencí Enterprise CAL Suite. 
Enterprise CAL Suite obsahuje balíček klientských přístupových licencí Core CAL Suite a balíček Forefront Security Suite a dále pak Exchange Server Enterprise CAL, Office SharePoint Server Enterprise CAL, Office Communications Server Standard CAL, Office Communications Server Enterprise CAL, Windows Rights Management Services CAL a System Center Operations Management Client ML.  
Balíček Core CAL obsahuje Windows Server 2008 CAL, Exchange Server 2007 Standard CAL, Office SharePoint Server 2007 Standard CAL, System Center Configuration Manager 2007 Client Management License.
Balíček Forefront Security Suite obsahuje Antigen for Instant Messaging, Forefront Client Security, Forefront Security for Exchange Server, Forefront Security for SharePoint Server a Exchange Hosted Filtering. </t>
  </si>
  <si>
    <t>Celkový počet počítačů</t>
  </si>
  <si>
    <t>Orientační splátka na PC/Eunis</t>
  </si>
  <si>
    <t>9SF-00117</t>
  </si>
  <si>
    <t>Forefront Sec SvrMgtCnsl All Lng Monthly Subscription MVL Services</t>
  </si>
  <si>
    <t>FTZ-00043</t>
  </si>
  <si>
    <t>Forfrnt Clnt Sec Mgt Cnsl All Lng Monthly Subscription MVL</t>
  </si>
  <si>
    <t>KNA-00249</t>
  </si>
  <si>
    <t>Office Comm Svr Std All Lng Lic/SA Pack MVL</t>
  </si>
  <si>
    <t>UAR-00662</t>
  </si>
  <si>
    <t>Ops Mgr Server All Lng Lic/SA Pack MVL</t>
  </si>
  <si>
    <t>Office Communication Server</t>
  </si>
  <si>
    <t xml:space="preserve">System Center Operations Manager </t>
  </si>
  <si>
    <t>Součet cen samostatných licencí</t>
  </si>
  <si>
    <t>Forefront Client Security Management Console</t>
  </si>
  <si>
    <t>Forefront Server Security Management Console</t>
  </si>
  <si>
    <t>Každému softwaru nabízenému v rámci tohoto programu je přidělen určitý počet jednotek. První objednávka nové smlouvy musí splnit minimální požadavek 300 jednotek.</t>
  </si>
</sst>
</file>

<file path=xl/styles.xml><?xml version="1.0" encoding="utf-8"?>
<styleSheet xmlns="http://schemas.openxmlformats.org/spreadsheetml/2006/main">
  <numFmts count="2">
    <numFmt numFmtId="164" formatCode="_-* #,##0.00\ [$€-1]_-;\-* #,##0.00\ [$€-1]_-;_-* &quot;-&quot;??\ [$€-1]_-;_-@_-"/>
    <numFmt numFmtId="165" formatCode="_-* #,##0.00\ [$Kč-405]_-;\-* #,##0.00\ [$Kč-405]_-;_-* &quot;-&quot;??\ [$Kč-405]_-;_-@_-"/>
  </numFmts>
  <fonts count="20">
    <font>
      <sz val="11"/>
      <color theme="1"/>
      <name val="Calibri"/>
      <family val="2"/>
      <charset val="238"/>
      <scheme val="minor"/>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sz val="11"/>
      <color theme="0"/>
      <name val="Calibri"/>
      <family val="2"/>
      <charset val="238"/>
      <scheme val="minor"/>
    </font>
    <font>
      <sz val="12"/>
      <color theme="1"/>
      <name val="Calibri"/>
      <family val="2"/>
      <charset val="238"/>
      <scheme val="minor"/>
    </font>
    <font>
      <i/>
      <sz val="10"/>
      <color theme="1"/>
      <name val="Calibri"/>
      <family val="2"/>
      <scheme val="minor"/>
    </font>
    <font>
      <sz val="11"/>
      <color theme="1"/>
      <name val="Calibri"/>
      <family val="2"/>
      <scheme val="minor"/>
    </font>
    <font>
      <b/>
      <sz val="11"/>
      <color theme="3"/>
      <name val="Calibri"/>
      <family val="2"/>
      <charset val="238"/>
      <scheme val="minor"/>
    </font>
    <font>
      <b/>
      <sz val="10"/>
      <color theme="1"/>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i/>
      <sz val="10"/>
      <color theme="0"/>
      <name val="Calibri"/>
      <family val="2"/>
      <scheme val="minor"/>
    </font>
    <font>
      <i/>
      <sz val="8"/>
      <color theme="3" tint="0.59999389629810485"/>
      <name val="Calibri"/>
      <family val="2"/>
      <scheme val="minor"/>
    </font>
    <font>
      <i/>
      <sz val="8"/>
      <color theme="1"/>
      <name val="Calibri"/>
      <family val="2"/>
      <scheme val="minor"/>
    </font>
    <font>
      <b/>
      <sz val="10"/>
      <color theme="3"/>
      <name val="Calibri"/>
      <family val="2"/>
      <scheme val="minor"/>
    </font>
    <font>
      <b/>
      <sz val="12"/>
      <color theme="3"/>
      <name val="Calibri"/>
      <family val="2"/>
      <charset val="238"/>
      <scheme val="minor"/>
    </font>
    <font>
      <b/>
      <sz val="16"/>
      <color theme="3"/>
      <name val="Calibri"/>
      <family val="2"/>
      <charset val="238"/>
      <scheme val="minor"/>
    </font>
    <font>
      <b/>
      <sz val="11"/>
      <color theme="3"/>
      <name val="Calibri"/>
      <family val="2"/>
      <scheme val="minor"/>
    </font>
  </fonts>
  <fills count="16">
    <fill>
      <patternFill patternType="none"/>
    </fill>
    <fill>
      <patternFill patternType="gray125"/>
    </fill>
    <fill>
      <patternFill patternType="solid">
        <fgColor theme="4" tint="0.59999389629810485"/>
        <bgColor indexed="65"/>
      </patternFill>
    </fill>
    <fill>
      <patternFill patternType="solid">
        <fgColor theme="9"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4"/>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4" tint="0.7999816888943144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0"/>
      </right>
      <top style="thin">
        <color theme="4" tint="0.39997558519241921"/>
      </top>
      <bottom style="thin">
        <color theme="4" tint="0.39997558519241921"/>
      </bottom>
      <diagonal/>
    </border>
    <border>
      <left style="thin">
        <color theme="0"/>
      </left>
      <right style="thin">
        <color theme="0"/>
      </right>
      <top style="thin">
        <color theme="4" tint="0.39997558519241921"/>
      </top>
      <bottom style="thin">
        <color theme="4" tint="0.39997558519241921"/>
      </bottom>
      <diagonal/>
    </border>
    <border>
      <left style="thin">
        <color theme="0"/>
      </left>
      <right style="thin">
        <color theme="4" tint="0.39997558519241921"/>
      </right>
      <top style="thin">
        <color theme="4" tint="0.39997558519241921"/>
      </top>
      <bottom style="thin">
        <color theme="4" tint="0.39997558519241921"/>
      </bottom>
      <diagonal/>
    </border>
    <border>
      <left style="thin">
        <color theme="6" tint="-0.249977111117893"/>
      </left>
      <right style="thin">
        <color theme="6" tint="-0.249977111117893"/>
      </right>
      <top style="thin">
        <color theme="6" tint="-0.249977111117893"/>
      </top>
      <bottom style="thin">
        <color theme="6" tint="-0.249977111117893"/>
      </bottom>
      <diagonal/>
    </border>
    <border>
      <left/>
      <right/>
      <top/>
      <bottom style="medium">
        <color theme="4" tint="0.39997558519241921"/>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thin">
        <color theme="5" tint="0.39997558519241921"/>
      </left>
      <right style="thin">
        <color theme="5" tint="0.39997558519241921"/>
      </right>
      <top style="thin">
        <color theme="5" tint="0.39997558519241921"/>
      </top>
      <bottom style="thin">
        <color theme="5"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5" tint="0.59999389629810485"/>
      </left>
      <right style="thin">
        <color theme="5" tint="0.59999389629810485"/>
      </right>
      <top style="thin">
        <color theme="5" tint="0.59999389629810485"/>
      </top>
      <bottom style="thin">
        <color theme="5" tint="0.59999389629810485"/>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5" tint="-0.249977111117893"/>
      </left>
      <right/>
      <top style="thin">
        <color theme="5" tint="-0.249977111117893"/>
      </top>
      <bottom style="thin">
        <color theme="5" tint="-0.249977111117893"/>
      </bottom>
      <diagonal/>
    </border>
    <border>
      <left/>
      <right/>
      <top style="thin">
        <color theme="5" tint="-0.249977111117893"/>
      </top>
      <bottom style="thin">
        <color theme="5" tint="-0.249977111117893"/>
      </bottom>
      <diagonal/>
    </border>
    <border>
      <left/>
      <right style="thin">
        <color theme="5" tint="-0.249977111117893"/>
      </right>
      <top style="thin">
        <color theme="5" tint="-0.249977111117893"/>
      </top>
      <bottom style="thin">
        <color theme="5" tint="-0.249977111117893"/>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thick">
        <color theme="4" tint="0.39997558519241921"/>
      </left>
      <right style="thick">
        <color theme="4" tint="0.39997558519241921"/>
      </right>
      <top style="thick">
        <color theme="4" tint="0.39997558519241921"/>
      </top>
      <bottom style="thick">
        <color theme="4" tint="0.39997558519241921"/>
      </bottom>
      <diagonal/>
    </border>
  </borders>
  <cellStyleXfs count="11">
    <xf numFmtId="0" fontId="0" fillId="0" borderId="0"/>
    <xf numFmtId="0" fontId="2" fillId="0" borderId="1" applyNumberFormat="0" applyFill="0" applyAlignment="0" applyProtection="0"/>
    <xf numFmtId="0" fontId="3" fillId="0" borderId="2" applyNumberFormat="0" applyFill="0" applyAlignment="0" applyProtection="0"/>
    <xf numFmtId="0" fontId="1" fillId="2" borderId="0" applyNumberFormat="0" applyBorder="0" applyAlignment="0" applyProtection="0"/>
    <xf numFmtId="9" fontId="1" fillId="0" borderId="0" applyFont="0" applyFill="0" applyBorder="0" applyAlignment="0" applyProtection="0"/>
    <xf numFmtId="0" fontId="8" fillId="0" borderId="8" applyNumberFormat="0" applyFill="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1" fillId="9" borderId="0" applyNumberFormat="0" applyBorder="0" applyAlignment="0" applyProtection="0"/>
    <xf numFmtId="0" fontId="4" fillId="10" borderId="0" applyNumberFormat="0" applyBorder="0" applyAlignment="0" applyProtection="0"/>
  </cellStyleXfs>
  <cellXfs count="132">
    <xf numFmtId="0" fontId="0" fillId="0" borderId="0" xfId="0"/>
    <xf numFmtId="0" fontId="5" fillId="0" borderId="0" xfId="0" applyFont="1"/>
    <xf numFmtId="0" fontId="3" fillId="0" borderId="2" xfId="2"/>
    <xf numFmtId="0" fontId="2" fillId="0" borderId="1" xfId="1"/>
    <xf numFmtId="0" fontId="7" fillId="0" borderId="0" xfId="0" applyFont="1"/>
    <xf numFmtId="0" fontId="8" fillId="0" borderId="8" xfId="5"/>
    <xf numFmtId="0" fontId="9" fillId="0" borderId="0" xfId="0" applyFont="1" applyFill="1" applyBorder="1" applyAlignment="1">
      <alignment horizontal="center" vertical="center" wrapText="1"/>
    </xf>
    <xf numFmtId="164" fontId="9" fillId="0" borderId="0" xfId="0" applyNumberFormat="1" applyFont="1" applyFill="1" applyBorder="1" applyAlignment="1">
      <alignment horizontal="center" vertical="center" wrapText="1"/>
    </xf>
    <xf numFmtId="165" fontId="9" fillId="0" borderId="0" xfId="0" applyNumberFormat="1" applyFont="1" applyFill="1" applyBorder="1" applyAlignment="1">
      <alignment horizontal="center" vertical="center" wrapText="1"/>
    </xf>
    <xf numFmtId="9" fontId="9" fillId="0" borderId="0" xfId="4" applyFont="1" applyFill="1" applyBorder="1" applyAlignment="1">
      <alignment horizontal="center" vertical="center" wrapText="1"/>
    </xf>
    <xf numFmtId="0" fontId="10" fillId="0" borderId="0" xfId="0" applyFont="1" applyFill="1" applyAlignment="1"/>
    <xf numFmtId="0" fontId="10" fillId="0" borderId="0" xfId="0" applyFont="1" applyFill="1"/>
    <xf numFmtId="0" fontId="10" fillId="0" borderId="9" xfId="0" applyFont="1" applyFill="1" applyBorder="1" applyAlignment="1"/>
    <xf numFmtId="164" fontId="10" fillId="0" borderId="9" xfId="0" applyNumberFormat="1" applyFont="1" applyFill="1" applyBorder="1" applyAlignment="1"/>
    <xf numFmtId="165" fontId="10" fillId="0" borderId="9" xfId="0" applyNumberFormat="1" applyFont="1" applyFill="1" applyBorder="1" applyAlignment="1"/>
    <xf numFmtId="9" fontId="10" fillId="0" borderId="9" xfId="4" applyFont="1" applyFill="1" applyBorder="1" applyAlignment="1"/>
    <xf numFmtId="0" fontId="11" fillId="7" borderId="3" xfId="7" applyFont="1" applyBorder="1"/>
    <xf numFmtId="0" fontId="12" fillId="7" borderId="3" xfId="7" applyFont="1" applyBorder="1"/>
    <xf numFmtId="164" fontId="11" fillId="7" borderId="3" xfId="7" applyNumberFormat="1" applyFont="1" applyBorder="1"/>
    <xf numFmtId="165" fontId="11" fillId="7" borderId="3" xfId="7" applyNumberFormat="1" applyFont="1" applyBorder="1"/>
    <xf numFmtId="9" fontId="11" fillId="7" borderId="3" xfId="4" applyFont="1" applyFill="1" applyBorder="1"/>
    <xf numFmtId="0" fontId="10" fillId="0" borderId="3" xfId="0" applyFont="1" applyFill="1" applyBorder="1" applyAlignment="1"/>
    <xf numFmtId="164" fontId="10" fillId="0" borderId="3" xfId="0" applyNumberFormat="1" applyFont="1" applyFill="1" applyBorder="1" applyAlignment="1"/>
    <xf numFmtId="165" fontId="10" fillId="0" borderId="3" xfId="0" applyNumberFormat="1" applyFont="1" applyFill="1" applyBorder="1" applyAlignment="1"/>
    <xf numFmtId="9" fontId="10" fillId="0" borderId="3" xfId="4" applyFont="1" applyFill="1" applyBorder="1" applyAlignment="1"/>
    <xf numFmtId="0" fontId="11" fillId="2" borderId="10" xfId="3" applyFont="1" applyBorder="1" applyAlignment="1"/>
    <xf numFmtId="164" fontId="11" fillId="2" borderId="10" xfId="3" applyNumberFormat="1" applyFont="1" applyBorder="1" applyAlignment="1"/>
    <xf numFmtId="165" fontId="11" fillId="2" borderId="10" xfId="3" applyNumberFormat="1" applyFont="1" applyBorder="1" applyAlignment="1"/>
    <xf numFmtId="9" fontId="11" fillId="2" borderId="10" xfId="4" applyFont="1" applyFill="1" applyBorder="1" applyAlignment="1"/>
    <xf numFmtId="0" fontId="10" fillId="0" borderId="10" xfId="0" applyFont="1" applyFill="1" applyBorder="1" applyAlignment="1"/>
    <xf numFmtId="164" fontId="10" fillId="0" borderId="10" xfId="0" applyNumberFormat="1" applyFont="1" applyFill="1" applyBorder="1" applyAlignment="1"/>
    <xf numFmtId="165" fontId="10" fillId="0" borderId="10" xfId="0" applyNumberFormat="1" applyFont="1" applyFill="1" applyBorder="1" applyAlignment="1"/>
    <xf numFmtId="9" fontId="10" fillId="0" borderId="10" xfId="4" applyFont="1" applyFill="1" applyBorder="1" applyAlignment="1"/>
    <xf numFmtId="0" fontId="10" fillId="0" borderId="11" xfId="0" applyFont="1" applyFill="1" applyBorder="1" applyAlignment="1"/>
    <xf numFmtId="164" fontId="10" fillId="0" borderId="11" xfId="0" applyNumberFormat="1" applyFont="1" applyFill="1" applyBorder="1" applyAlignment="1"/>
    <xf numFmtId="165" fontId="10" fillId="0" borderId="11" xfId="0" applyNumberFormat="1" applyFont="1" applyFill="1" applyBorder="1" applyAlignment="1"/>
    <xf numFmtId="9" fontId="10" fillId="0" borderId="11" xfId="4" applyFont="1" applyFill="1" applyBorder="1" applyAlignment="1"/>
    <xf numFmtId="0" fontId="10" fillId="0" borderId="0" xfId="0" applyFont="1" applyFill="1" applyBorder="1" applyAlignment="1"/>
    <xf numFmtId="164" fontId="10" fillId="0" borderId="0" xfId="0" applyNumberFormat="1" applyFont="1" applyFill="1" applyBorder="1" applyAlignment="1"/>
    <xf numFmtId="165" fontId="10" fillId="0" borderId="0" xfId="0" applyNumberFormat="1" applyFont="1" applyFill="1" applyBorder="1" applyAlignment="1"/>
    <xf numFmtId="9" fontId="10" fillId="0" borderId="0" xfId="4" applyFont="1" applyFill="1" applyBorder="1" applyAlignment="1"/>
    <xf numFmtId="0" fontId="11" fillId="10" borderId="12" xfId="10" applyFont="1" applyBorder="1" applyAlignment="1"/>
    <xf numFmtId="0" fontId="11" fillId="10" borderId="12" xfId="10" applyFont="1" applyBorder="1"/>
    <xf numFmtId="164" fontId="11" fillId="10" borderId="12" xfId="10" applyNumberFormat="1" applyFont="1" applyBorder="1"/>
    <xf numFmtId="165" fontId="11" fillId="10" borderId="12" xfId="10" applyNumberFormat="1" applyFont="1" applyBorder="1"/>
    <xf numFmtId="9" fontId="11" fillId="10" borderId="12" xfId="4" applyFont="1" applyFill="1" applyBorder="1"/>
    <xf numFmtId="0" fontId="10" fillId="0" borderId="12" xfId="0" applyFont="1" applyFill="1" applyBorder="1" applyAlignment="1"/>
    <xf numFmtId="164" fontId="10" fillId="0" borderId="12" xfId="0" applyNumberFormat="1" applyFont="1" applyFill="1" applyBorder="1" applyAlignment="1"/>
    <xf numFmtId="165" fontId="10" fillId="0" borderId="12" xfId="0" applyNumberFormat="1" applyFont="1" applyFill="1" applyBorder="1" applyAlignment="1"/>
    <xf numFmtId="9" fontId="10" fillId="0" borderId="12" xfId="4" applyFont="1" applyFill="1" applyBorder="1" applyAlignment="1"/>
    <xf numFmtId="0" fontId="11" fillId="9" borderId="14" xfId="9" applyFont="1" applyBorder="1" applyAlignment="1"/>
    <xf numFmtId="0" fontId="11" fillId="9" borderId="14" xfId="9" applyFont="1" applyBorder="1"/>
    <xf numFmtId="164" fontId="11" fillId="9" borderId="14" xfId="9" applyNumberFormat="1" applyFont="1" applyBorder="1"/>
    <xf numFmtId="165" fontId="11" fillId="9" borderId="14" xfId="9" applyNumberFormat="1" applyFont="1" applyBorder="1"/>
    <xf numFmtId="9" fontId="11" fillId="9" borderId="14" xfId="4" applyFont="1" applyFill="1" applyBorder="1"/>
    <xf numFmtId="0" fontId="13" fillId="9" borderId="14" xfId="9" applyFont="1" applyBorder="1" applyAlignment="1"/>
    <xf numFmtId="0" fontId="10" fillId="0" borderId="14" xfId="0" applyFont="1" applyFill="1" applyBorder="1" applyAlignment="1"/>
    <xf numFmtId="164" fontId="10" fillId="0" borderId="14" xfId="0" applyNumberFormat="1" applyFont="1" applyFill="1" applyBorder="1" applyAlignment="1"/>
    <xf numFmtId="165" fontId="10" fillId="0" borderId="14" xfId="0" applyNumberFormat="1" applyFont="1" applyFill="1" applyBorder="1" applyAlignment="1"/>
    <xf numFmtId="9" fontId="10" fillId="0" borderId="14" xfId="4" applyFont="1" applyFill="1" applyBorder="1" applyAlignment="1"/>
    <xf numFmtId="164" fontId="10" fillId="0" borderId="0" xfId="0" applyNumberFormat="1" applyFont="1" applyFill="1"/>
    <xf numFmtId="165" fontId="10" fillId="0" borderId="0" xfId="0" applyNumberFormat="1" applyFont="1" applyFill="1"/>
    <xf numFmtId="9" fontId="10" fillId="0" borderId="0" xfId="4" applyFont="1" applyFill="1"/>
    <xf numFmtId="0" fontId="11" fillId="11" borderId="15" xfId="6" applyFont="1" applyFill="1" applyBorder="1"/>
    <xf numFmtId="0" fontId="12" fillId="11" borderId="16" xfId="6" applyFont="1" applyFill="1" applyBorder="1"/>
    <xf numFmtId="164" fontId="12" fillId="11" borderId="16" xfId="6" applyNumberFormat="1" applyFont="1" applyFill="1" applyBorder="1"/>
    <xf numFmtId="165" fontId="12" fillId="11" borderId="16" xfId="6" applyNumberFormat="1" applyFont="1" applyFill="1" applyBorder="1"/>
    <xf numFmtId="9" fontId="12" fillId="11" borderId="17" xfId="4" applyFont="1" applyFill="1" applyBorder="1"/>
    <xf numFmtId="0" fontId="11" fillId="8" borderId="18" xfId="8" applyFont="1" applyBorder="1"/>
    <xf numFmtId="0" fontId="12" fillId="8" borderId="19" xfId="8" applyFont="1" applyBorder="1"/>
    <xf numFmtId="164" fontId="12" fillId="8" borderId="19" xfId="8" applyNumberFormat="1" applyFont="1" applyBorder="1"/>
    <xf numFmtId="165" fontId="12" fillId="8" borderId="19" xfId="8" applyNumberFormat="1" applyFont="1" applyBorder="1"/>
    <xf numFmtId="9" fontId="12" fillId="8" borderId="20" xfId="4" applyFont="1" applyFill="1" applyBorder="1"/>
    <xf numFmtId="0" fontId="14" fillId="0" borderId="13" xfId="0" applyFont="1" applyFill="1" applyBorder="1" applyAlignment="1">
      <alignment horizontal="center" vertical="center" wrapText="1"/>
    </xf>
    <xf numFmtId="164" fontId="14" fillId="0" borderId="13" xfId="0" applyNumberFormat="1" applyFont="1" applyFill="1" applyBorder="1" applyAlignment="1">
      <alignment horizontal="center" vertical="center" wrapText="1"/>
    </xf>
    <xf numFmtId="165" fontId="14" fillId="0" borderId="13" xfId="0" applyNumberFormat="1" applyFont="1" applyFill="1" applyBorder="1" applyAlignment="1">
      <alignment horizontal="center" vertical="center" wrapText="1"/>
    </xf>
    <xf numFmtId="9" fontId="14" fillId="0" borderId="13" xfId="4" applyFont="1" applyFill="1" applyBorder="1" applyAlignment="1">
      <alignment horizontal="center" vertical="center" wrapText="1"/>
    </xf>
    <xf numFmtId="0" fontId="15" fillId="0" borderId="0" xfId="0" applyFont="1" applyFill="1" applyAlignment="1"/>
    <xf numFmtId="0" fontId="9" fillId="2" borderId="4" xfId="3" applyFont="1" applyBorder="1" applyAlignment="1">
      <alignment horizontal="left" vertical="top"/>
    </xf>
    <xf numFmtId="0" fontId="9" fillId="2" borderId="5" xfId="3" applyFont="1" applyBorder="1" applyAlignment="1">
      <alignment horizontal="left" vertical="top"/>
    </xf>
    <xf numFmtId="0" fontId="9" fillId="2" borderId="6" xfId="3" applyFont="1" applyBorder="1" applyAlignment="1">
      <alignment vertical="top" wrapText="1"/>
    </xf>
    <xf numFmtId="0" fontId="9" fillId="0" borderId="0" xfId="0" applyFont="1" applyAlignment="1">
      <alignment vertical="top" wrapText="1"/>
    </xf>
    <xf numFmtId="0" fontId="10" fillId="0" borderId="0" xfId="0" applyFont="1" applyAlignment="1">
      <alignment horizontal="left" vertical="top"/>
    </xf>
    <xf numFmtId="0" fontId="10" fillId="0" borderId="3" xfId="0" applyFont="1" applyBorder="1" applyAlignment="1"/>
    <xf numFmtId="0" fontId="10" fillId="4" borderId="3" xfId="0" applyFont="1" applyFill="1" applyBorder="1" applyAlignment="1"/>
    <xf numFmtId="164" fontId="10" fillId="0" borderId="3" xfId="0" applyNumberFormat="1" applyFont="1" applyBorder="1"/>
    <xf numFmtId="165" fontId="10" fillId="0" borderId="3" xfId="0" applyNumberFormat="1" applyFont="1" applyBorder="1"/>
    <xf numFmtId="0" fontId="10" fillId="0" borderId="3" xfId="0" applyFont="1" applyBorder="1"/>
    <xf numFmtId="0" fontId="10" fillId="0" borderId="0" xfId="0" applyFont="1"/>
    <xf numFmtId="9" fontId="10" fillId="0" borderId="0" xfId="0" applyNumberFormat="1" applyFont="1"/>
    <xf numFmtId="0" fontId="9" fillId="2" borderId="3" xfId="3" applyFont="1" applyBorder="1" applyAlignment="1">
      <alignment horizontal="left" vertical="top"/>
    </xf>
    <xf numFmtId="0" fontId="10" fillId="0" borderId="0" xfId="0" applyFont="1" applyAlignment="1"/>
    <xf numFmtId="0" fontId="10" fillId="0" borderId="0" xfId="0" applyNumberFormat="1" applyFont="1" applyFill="1" applyBorder="1" applyAlignment="1"/>
    <xf numFmtId="0" fontId="10" fillId="5" borderId="0" xfId="0" applyFont="1" applyFill="1" applyAlignment="1"/>
    <xf numFmtId="0" fontId="10" fillId="0" borderId="0" xfId="0" applyFont="1" applyAlignment="1">
      <alignment horizontal="right"/>
    </xf>
    <xf numFmtId="0" fontId="10" fillId="0" borderId="7" xfId="0" applyFont="1" applyFill="1" applyBorder="1" applyAlignment="1"/>
    <xf numFmtId="164" fontId="10" fillId="0" borderId="7" xfId="0" applyNumberFormat="1" applyFont="1" applyFill="1" applyBorder="1" applyAlignment="1"/>
    <xf numFmtId="165" fontId="10" fillId="0" borderId="7" xfId="0" applyNumberFormat="1" applyFont="1" applyFill="1" applyBorder="1" applyAlignment="1"/>
    <xf numFmtId="0" fontId="10" fillId="5" borderId="7" xfId="0" applyFont="1" applyFill="1" applyBorder="1" applyAlignment="1"/>
    <xf numFmtId="0" fontId="10" fillId="0" borderId="7" xfId="0" applyNumberFormat="1" applyFont="1" applyFill="1" applyBorder="1" applyAlignment="1"/>
    <xf numFmtId="0" fontId="10" fillId="3" borderId="0" xfId="0" applyFont="1" applyFill="1" applyAlignment="1"/>
    <xf numFmtId="0" fontId="10" fillId="0" borderId="21" xfId="0" applyFont="1" applyFill="1" applyBorder="1" applyAlignment="1"/>
    <xf numFmtId="164" fontId="10" fillId="0" borderId="21" xfId="0" applyNumberFormat="1" applyFont="1" applyFill="1" applyBorder="1" applyAlignment="1"/>
    <xf numFmtId="165" fontId="10" fillId="0" borderId="21" xfId="0" applyNumberFormat="1" applyFont="1" applyFill="1" applyBorder="1" applyAlignment="1"/>
    <xf numFmtId="0" fontId="10" fillId="3" borderId="21" xfId="0" applyFont="1" applyFill="1" applyBorder="1" applyAlignment="1"/>
    <xf numFmtId="0" fontId="10" fillId="0" borderId="21" xfId="0" applyNumberFormat="1" applyFont="1" applyFill="1" applyBorder="1" applyAlignment="1"/>
    <xf numFmtId="0" fontId="10" fillId="13" borderId="0" xfId="0" applyFont="1" applyFill="1" applyAlignment="1"/>
    <xf numFmtId="0" fontId="10" fillId="0" borderId="22" xfId="0" applyFont="1" applyFill="1" applyBorder="1" applyAlignment="1"/>
    <xf numFmtId="164" fontId="10" fillId="0" borderId="22" xfId="0" applyNumberFormat="1" applyFont="1" applyFill="1" applyBorder="1" applyAlignment="1"/>
    <xf numFmtId="165" fontId="10" fillId="0" borderId="22" xfId="0" applyNumberFormat="1" applyFont="1" applyFill="1" applyBorder="1" applyAlignment="1"/>
    <xf numFmtId="0" fontId="10" fillId="13" borderId="22" xfId="0" applyFont="1" applyFill="1" applyBorder="1" applyAlignment="1"/>
    <xf numFmtId="0" fontId="10" fillId="0" borderId="22" xfId="0" applyNumberFormat="1" applyFont="1" applyFill="1" applyBorder="1" applyAlignment="1"/>
    <xf numFmtId="0" fontId="2" fillId="0" borderId="1" xfId="1" applyFill="1"/>
    <xf numFmtId="0" fontId="0" fillId="0" borderId="0" xfId="0" applyFill="1"/>
    <xf numFmtId="0" fontId="5" fillId="0" borderId="0" xfId="0" applyFont="1" applyFill="1"/>
    <xf numFmtId="0" fontId="17" fillId="12" borderId="2" xfId="2" applyFont="1" applyFill="1"/>
    <xf numFmtId="165" fontId="17" fillId="12" borderId="2" xfId="2" applyNumberFormat="1" applyFont="1" applyFill="1"/>
    <xf numFmtId="0" fontId="19" fillId="0" borderId="8" xfId="5" applyFont="1"/>
    <xf numFmtId="0" fontId="10" fillId="0" borderId="0" xfId="0" applyFont="1" applyAlignment="1" applyProtection="1">
      <protection locked="0"/>
    </xf>
    <xf numFmtId="0" fontId="3" fillId="14" borderId="0" xfId="2" applyFill="1" applyBorder="1"/>
    <xf numFmtId="0" fontId="18" fillId="15" borderId="1" xfId="1" applyFont="1" applyFill="1"/>
    <xf numFmtId="0" fontId="2" fillId="15" borderId="1" xfId="1" applyFill="1"/>
    <xf numFmtId="0" fontId="0" fillId="15" borderId="0" xfId="0" applyFill="1"/>
    <xf numFmtId="0" fontId="3" fillId="15" borderId="2" xfId="2" applyFill="1"/>
    <xf numFmtId="0" fontId="5" fillId="15" borderId="0" xfId="0" applyFont="1" applyFill="1"/>
    <xf numFmtId="0" fontId="6" fillId="15" borderId="0" xfId="0" applyNumberFormat="1" applyFont="1" applyFill="1" applyAlignment="1">
      <alignment horizontal="left" vertical="top" wrapText="1"/>
    </xf>
    <xf numFmtId="0" fontId="3" fillId="15" borderId="0" xfId="2" applyFill="1" applyBorder="1"/>
    <xf numFmtId="0" fontId="3" fillId="15" borderId="2" xfId="2" applyFill="1" applyAlignment="1">
      <alignment horizontal="right"/>
    </xf>
    <xf numFmtId="0" fontId="17" fillId="0" borderId="23" xfId="2" applyFont="1" applyFill="1" applyBorder="1" applyProtection="1">
      <protection locked="0"/>
    </xf>
    <xf numFmtId="0" fontId="9" fillId="2" borderId="5" xfId="3" applyFont="1" applyBorder="1" applyAlignment="1">
      <alignment horizontal="left" vertical="top" wrapText="1"/>
    </xf>
    <xf numFmtId="0" fontId="6" fillId="15" borderId="0" xfId="0" applyNumberFormat="1" applyFont="1" applyFill="1" applyAlignment="1">
      <alignment horizontal="left" vertical="top" wrapText="1"/>
    </xf>
    <xf numFmtId="0" fontId="6" fillId="0" borderId="0" xfId="0" applyNumberFormat="1" applyFont="1" applyAlignment="1">
      <alignment horizontal="left" vertical="top" wrapText="1"/>
    </xf>
  </cellXfs>
  <cellStyles count="11">
    <cellStyle name="40% - Accent1" xfId="3" builtinId="31"/>
    <cellStyle name="40% - Accent2" xfId="9" builtinId="35"/>
    <cellStyle name="60% - Accent1" xfId="7" builtinId="32"/>
    <cellStyle name="60% - Accent2" xfId="10" builtinId="36"/>
    <cellStyle name="Accent1" xfId="6" builtinId="29"/>
    <cellStyle name="Accent2" xfId="8" builtinId="33"/>
    <cellStyle name="Heading 1" xfId="1" builtinId="16"/>
    <cellStyle name="Heading 2" xfId="2" builtinId="17"/>
    <cellStyle name="Heading 3" xfId="5" builtinId="18"/>
    <cellStyle name="Normal" xfId="0" builtinId="0"/>
    <cellStyle name="Percent" xfId="4" builtinId="5"/>
  </cellStyles>
  <dxfs count="2">
    <dxf>
      <font>
        <b/>
        <i val="0"/>
        <strike val="0"/>
        <color rgb="FFFF0000"/>
      </font>
    </dxf>
    <dxf>
      <font>
        <b/>
        <i val="0"/>
        <strike val="0"/>
        <color rgb="FFFF000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85"/>
  <sheetViews>
    <sheetView showGridLines="0" tabSelected="1" zoomScale="80" zoomScaleNormal="80" workbookViewId="0">
      <pane ySplit="13" topLeftCell="A14" activePane="bottomLeft" state="frozen"/>
      <selection pane="bottomLeft" activeCell="G3" sqref="G3"/>
    </sheetView>
  </sheetViews>
  <sheetFormatPr defaultRowHeight="15.75"/>
  <cols>
    <col min="1" max="1" width="24.85546875" style="1" customWidth="1"/>
    <col min="2" max="2" width="67" style="1" bestFit="1" customWidth="1"/>
    <col min="3" max="7" width="17.85546875" style="1" customWidth="1"/>
    <col min="8" max="8" width="17.28515625" style="1" customWidth="1"/>
    <col min="9" max="9" width="4.85546875" style="1" bestFit="1" customWidth="1"/>
    <col min="10" max="13" width="9.140625" style="1"/>
    <col min="14" max="14" width="4.42578125" style="1" hidden="1" customWidth="1"/>
    <col min="15" max="16384" width="9.140625" style="1"/>
  </cols>
  <sheetData>
    <row r="1" spans="1:14" ht="21.75" thickBot="1">
      <c r="A1" s="120" t="s">
        <v>107</v>
      </c>
      <c r="B1" s="121"/>
      <c r="C1" s="121"/>
      <c r="D1" s="121"/>
      <c r="E1" s="121"/>
      <c r="F1" s="121"/>
      <c r="G1" s="121"/>
      <c r="N1" s="1" t="s">
        <v>46</v>
      </c>
    </row>
    <row r="2" spans="1:14" customFormat="1" ht="33" customHeight="1" thickTop="1" thickBot="1">
      <c r="A2" s="122"/>
      <c r="B2" s="122"/>
      <c r="C2" s="122"/>
      <c r="D2" s="122"/>
      <c r="E2" s="122"/>
      <c r="F2" s="122"/>
      <c r="G2" s="122"/>
      <c r="N2" t="s">
        <v>43</v>
      </c>
    </row>
    <row r="3" spans="1:14" ht="18.75" thickTop="1" thickBot="1">
      <c r="A3" s="123" t="s">
        <v>36</v>
      </c>
      <c r="B3" s="123"/>
      <c r="C3" s="123"/>
      <c r="D3" s="123"/>
      <c r="E3" s="123"/>
      <c r="F3" s="123"/>
      <c r="G3" s="128"/>
    </row>
    <row r="4" spans="1:14" ht="47.25" customHeight="1" thickTop="1">
      <c r="A4" s="130" t="s">
        <v>108</v>
      </c>
      <c r="B4" s="130"/>
      <c r="C4" s="130"/>
      <c r="D4" s="130"/>
      <c r="E4" s="130"/>
      <c r="F4" s="130"/>
      <c r="G4" s="130"/>
    </row>
    <row r="5" spans="1:14" ht="18" thickBot="1">
      <c r="A5" s="123" t="s">
        <v>40</v>
      </c>
      <c r="B5" s="123"/>
      <c r="C5" s="123"/>
      <c r="D5" s="123"/>
      <c r="E5" s="123"/>
      <c r="F5" s="123"/>
      <c r="G5" s="115">
        <f>SUM(G20,G27,G31,G35,G39,G43,G50,G54,G58,G62,G66,G70,G74,G78,G82)</f>
        <v>0</v>
      </c>
    </row>
    <row r="6" spans="1:14" ht="29.25" customHeight="1" thickTop="1" thickBot="1">
      <c r="A6" s="130" t="s">
        <v>144</v>
      </c>
      <c r="B6" s="130"/>
      <c r="C6" s="130"/>
      <c r="D6" s="130"/>
      <c r="E6" s="130"/>
      <c r="F6" s="130"/>
      <c r="G6" s="130"/>
    </row>
    <row r="7" spans="1:14" ht="18.75" thickTop="1" thickBot="1">
      <c r="A7" s="123" t="s">
        <v>37</v>
      </c>
      <c r="B7" s="123"/>
      <c r="C7" s="123"/>
      <c r="D7" s="123"/>
      <c r="E7" s="123"/>
      <c r="F7" s="123"/>
      <c r="G7" s="128">
        <v>25</v>
      </c>
    </row>
    <row r="8" spans="1:14" ht="16.5" thickTop="1">
      <c r="A8" s="124"/>
      <c r="B8" s="125"/>
      <c r="C8" s="125"/>
      <c r="D8" s="125"/>
      <c r="E8" s="125"/>
      <c r="F8" s="125"/>
      <c r="G8" s="125"/>
    </row>
    <row r="9" spans="1:14" ht="18" thickBot="1">
      <c r="A9" s="123" t="s">
        <v>106</v>
      </c>
      <c r="B9" s="123"/>
      <c r="C9" s="123"/>
      <c r="D9" s="123"/>
      <c r="E9" s="123"/>
      <c r="F9" s="116">
        <f>SUM(D20,D27,D31,D35,D39,D43,D50,D54,D58,D62,D66,D70,D74,D78,D82)</f>
        <v>0</v>
      </c>
      <c r="G9" s="116">
        <f>SUM(F20,F27,F31,F35,F39,F43,F50,F54,F58,F62,F66,F70,F74,F78,F82)</f>
        <v>0</v>
      </c>
    </row>
    <row r="10" spans="1:14" ht="18.75" thickTop="1" thickBot="1">
      <c r="A10" s="126"/>
      <c r="B10" s="126"/>
      <c r="C10" s="126"/>
      <c r="D10" s="126"/>
      <c r="E10" s="126"/>
      <c r="F10" s="119"/>
      <c r="G10" s="119"/>
    </row>
    <row r="11" spans="1:14" ht="18.75" thickTop="1" thickBot="1">
      <c r="A11" s="123" t="s">
        <v>129</v>
      </c>
      <c r="B11" s="123"/>
      <c r="C11" s="128"/>
      <c r="D11" s="123"/>
      <c r="E11" s="127" t="s">
        <v>130</v>
      </c>
      <c r="F11" s="116">
        <f>IF($C$11=0,0,F9/$C$11)</f>
        <v>0</v>
      </c>
      <c r="G11" s="116">
        <f>IF($C$11=0,0,G9/$C$11)</f>
        <v>0</v>
      </c>
    </row>
    <row r="12" spans="1:14" ht="16.5" thickTop="1">
      <c r="A12" s="113"/>
      <c r="B12" s="114"/>
      <c r="C12" s="114"/>
      <c r="D12" s="114"/>
      <c r="E12" s="114"/>
      <c r="F12" s="114"/>
      <c r="G12" s="114"/>
    </row>
    <row r="13" spans="1:14" ht="20.25" thickBot="1">
      <c r="A13" s="112" t="s">
        <v>89</v>
      </c>
      <c r="B13" s="112"/>
      <c r="C13" s="112"/>
      <c r="D13" s="112"/>
      <c r="E13" s="112"/>
      <c r="F13" s="112"/>
      <c r="G13" s="112"/>
    </row>
    <row r="14" spans="1:14" ht="16.5" thickTop="1">
      <c r="A14"/>
    </row>
    <row r="15" spans="1:14" ht="16.5" thickBot="1">
      <c r="A15" s="5" t="s">
        <v>6</v>
      </c>
      <c r="B15" s="5"/>
    </row>
    <row r="16" spans="1:14" ht="48" customHeight="1">
      <c r="A16" s="131" t="s">
        <v>127</v>
      </c>
      <c r="B16" s="131"/>
      <c r="C16" s="131"/>
      <c r="D16" s="131"/>
      <c r="E16" s="131"/>
      <c r="F16" s="131"/>
      <c r="G16" s="131"/>
    </row>
    <row r="17" spans="1:9" s="82" customFormat="1" ht="25.5" customHeight="1">
      <c r="A17" s="78" t="s">
        <v>32</v>
      </c>
      <c r="B17" s="79" t="s">
        <v>31</v>
      </c>
      <c r="C17" s="129" t="s">
        <v>33</v>
      </c>
      <c r="D17" s="129"/>
      <c r="E17" s="129" t="s">
        <v>35</v>
      </c>
      <c r="F17" s="129"/>
      <c r="G17" s="80" t="s">
        <v>38</v>
      </c>
      <c r="H17" s="81"/>
    </row>
    <row r="18" spans="1:9" s="88" customFormat="1" ht="12.75">
      <c r="A18" s="83" t="s">
        <v>4</v>
      </c>
      <c r="B18" s="84" t="s">
        <v>5</v>
      </c>
      <c r="C18" s="85">
        <v>60</v>
      </c>
      <c r="D18" s="86">
        <f>ROUNDUP(+C18*$G$7,1)</f>
        <v>1500</v>
      </c>
      <c r="E18" s="85">
        <f>56*0.9</f>
        <v>50.4</v>
      </c>
      <c r="F18" s="86">
        <f>ROUNDUP(+E18*$G$7,1)</f>
        <v>1260</v>
      </c>
      <c r="G18" s="87">
        <v>3</v>
      </c>
      <c r="I18" s="89"/>
    </row>
    <row r="19" spans="1:9" s="88" customFormat="1" ht="12.75"/>
    <row r="20" spans="1:9" s="88" customFormat="1" ht="12.75">
      <c r="B20" s="90" t="s">
        <v>39</v>
      </c>
      <c r="C20" s="85">
        <f>+C18*$G$3</f>
        <v>0</v>
      </c>
      <c r="D20" s="86">
        <f>+D18*$G$3</f>
        <v>0</v>
      </c>
      <c r="E20" s="85">
        <f>+E18*$G$3</f>
        <v>0</v>
      </c>
      <c r="F20" s="86">
        <f>+F18*$G$3</f>
        <v>0</v>
      </c>
      <c r="G20" s="87">
        <f>+G18*$G$3</f>
        <v>0</v>
      </c>
    </row>
    <row r="23" spans="1:9" ht="16.5" thickBot="1">
      <c r="A23" s="5" t="s">
        <v>102</v>
      </c>
      <c r="B23" s="5"/>
    </row>
    <row r="25" spans="1:9" s="91" customFormat="1" ht="12.75">
      <c r="A25" s="93" t="s">
        <v>26</v>
      </c>
      <c r="B25" s="94" t="s">
        <v>47</v>
      </c>
      <c r="C25" s="118" t="s">
        <v>43</v>
      </c>
    </row>
    <row r="26" spans="1:9" s="91" customFormat="1" ht="12.75">
      <c r="A26" s="95" t="s">
        <v>24</v>
      </c>
      <c r="B26" s="95" t="s">
        <v>25</v>
      </c>
      <c r="C26" s="96">
        <v>6</v>
      </c>
      <c r="D26" s="97">
        <f>ROUNDUP(+C26*$G$7,1)</f>
        <v>150</v>
      </c>
      <c r="E26" s="96">
        <f>ROUNDUP(+C26*0.9,1)</f>
        <v>5.4</v>
      </c>
      <c r="F26" s="97">
        <f>+ROUNDUP(E26*$G$7,1)</f>
        <v>135</v>
      </c>
      <c r="G26" s="95">
        <v>1</v>
      </c>
    </row>
    <row r="27" spans="1:9" s="91" customFormat="1" ht="12.75">
      <c r="A27" s="37"/>
      <c r="B27" s="98" t="s">
        <v>39</v>
      </c>
      <c r="C27" s="96">
        <f>IF(C25="ano",C26*$G$3,0)</f>
        <v>0</v>
      </c>
      <c r="D27" s="97">
        <f>IF(C25="ano",D26*$G$3,0)</f>
        <v>0</v>
      </c>
      <c r="E27" s="96">
        <f>IF(C25="ano",E26*$G$3,0)</f>
        <v>0</v>
      </c>
      <c r="F27" s="97">
        <f>IF(C25="ano",F26*$G$3,0)</f>
        <v>0</v>
      </c>
      <c r="G27" s="99">
        <f>IF(C25="ano",G26*$G$3,0)</f>
        <v>0</v>
      </c>
    </row>
    <row r="28" spans="1:9" s="10" customFormat="1" ht="7.5" customHeight="1">
      <c r="A28" s="37"/>
      <c r="B28" s="37"/>
      <c r="C28" s="38"/>
      <c r="D28" s="39"/>
      <c r="E28" s="38"/>
      <c r="F28" s="39"/>
      <c r="G28" s="92"/>
    </row>
    <row r="29" spans="1:9" s="91" customFormat="1" ht="12.75">
      <c r="A29" s="93" t="s">
        <v>45</v>
      </c>
      <c r="B29" s="94" t="s">
        <v>47</v>
      </c>
      <c r="C29" s="118" t="s">
        <v>43</v>
      </c>
    </row>
    <row r="30" spans="1:9" s="91" customFormat="1" ht="12.75">
      <c r="A30" s="95" t="s">
        <v>41</v>
      </c>
      <c r="B30" s="95" t="s">
        <v>42</v>
      </c>
      <c r="C30" s="96">
        <v>6</v>
      </c>
      <c r="D30" s="97">
        <f>ROUNDUP(+C30*$G$7,1)</f>
        <v>150</v>
      </c>
      <c r="E30" s="96">
        <f>ROUNDUP(+C30*0.9,1)</f>
        <v>5.4</v>
      </c>
      <c r="F30" s="97">
        <f>+ROUNDUP(E30*$G$7,1)</f>
        <v>135</v>
      </c>
      <c r="G30" s="95">
        <v>1</v>
      </c>
    </row>
    <row r="31" spans="1:9" s="91" customFormat="1" ht="12.75">
      <c r="A31" s="37"/>
      <c r="B31" s="98" t="s">
        <v>39</v>
      </c>
      <c r="C31" s="96">
        <f>IF(C29="ano",C30*$G$3,0)</f>
        <v>0</v>
      </c>
      <c r="D31" s="97">
        <f>IF(C29="ano",D30*$G$3,0)</f>
        <v>0</v>
      </c>
      <c r="E31" s="96">
        <f>IF(C29="ano",E30*$G$3,0)</f>
        <v>0</v>
      </c>
      <c r="F31" s="97">
        <f>IF(C29="ano",F30*$G$3,0)</f>
        <v>0</v>
      </c>
      <c r="G31" s="99">
        <f>IF(C29="ano",G30*$G$3,0)</f>
        <v>0</v>
      </c>
    </row>
    <row r="32" spans="1:9" s="10" customFormat="1" ht="7.5" customHeight="1">
      <c r="A32" s="37"/>
      <c r="B32" s="37"/>
      <c r="C32" s="38"/>
      <c r="D32" s="39"/>
      <c r="E32" s="38"/>
      <c r="F32" s="39"/>
      <c r="G32" s="92"/>
    </row>
    <row r="33" spans="1:7" s="91" customFormat="1" ht="12.75">
      <c r="A33" s="93" t="s">
        <v>44</v>
      </c>
      <c r="B33" s="94" t="s">
        <v>47</v>
      </c>
      <c r="C33" s="118" t="s">
        <v>43</v>
      </c>
    </row>
    <row r="34" spans="1:7" s="91" customFormat="1" ht="12.75">
      <c r="A34" s="95" t="s">
        <v>103</v>
      </c>
      <c r="B34" s="95" t="s">
        <v>104</v>
      </c>
      <c r="C34" s="96">
        <f>12*0.33</f>
        <v>3.96</v>
      </c>
      <c r="D34" s="97">
        <f>ROUNDUP(+C34*$G$7,1)</f>
        <v>99</v>
      </c>
      <c r="E34" s="96">
        <f>ROUNDUP(+C34*0.9,1)</f>
        <v>3.6</v>
      </c>
      <c r="F34" s="97">
        <f>+ROUNDUP(E34*$G$7,1)</f>
        <v>90</v>
      </c>
      <c r="G34" s="95">
        <v>1</v>
      </c>
    </row>
    <row r="35" spans="1:7" s="91" customFormat="1" ht="12.75">
      <c r="A35" s="37"/>
      <c r="B35" s="98" t="s">
        <v>39</v>
      </c>
      <c r="C35" s="96">
        <f>IF(C33="ano",C34*$G$3,0)</f>
        <v>0</v>
      </c>
      <c r="D35" s="97">
        <f>IF(C33="ano",D34*$G$3,0)</f>
        <v>0</v>
      </c>
      <c r="E35" s="96">
        <f>IF(C33="ano",E34*$G$3,0)</f>
        <v>0</v>
      </c>
      <c r="F35" s="97">
        <f>IF(C33="ano",F34*$G$3,0)</f>
        <v>0</v>
      </c>
      <c r="G35" s="99">
        <f>IF(C33="ano",G34*$G$3,0)</f>
        <v>0</v>
      </c>
    </row>
    <row r="36" spans="1:7" s="10" customFormat="1" ht="7.5" customHeight="1">
      <c r="A36" s="37"/>
      <c r="B36" s="37"/>
      <c r="C36" s="38"/>
      <c r="D36" s="39"/>
      <c r="E36" s="38"/>
      <c r="F36" s="39"/>
      <c r="G36" s="92"/>
    </row>
    <row r="37" spans="1:7" s="91" customFormat="1" ht="12.75">
      <c r="A37" s="100" t="s">
        <v>19</v>
      </c>
      <c r="B37" s="94" t="s">
        <v>47</v>
      </c>
      <c r="C37" s="118" t="s">
        <v>43</v>
      </c>
    </row>
    <row r="38" spans="1:7" s="91" customFormat="1" ht="12.75">
      <c r="A38" s="101" t="s">
        <v>17</v>
      </c>
      <c r="B38" s="101" t="s">
        <v>18</v>
      </c>
      <c r="C38" s="102">
        <v>6</v>
      </c>
      <c r="D38" s="103">
        <f>ROUNDUP(+C38*$G$7,1)</f>
        <v>150</v>
      </c>
      <c r="E38" s="102">
        <f>ROUNDUP(+C38*0.9,1)</f>
        <v>5.4</v>
      </c>
      <c r="F38" s="103">
        <f>+ROUNDUP(E38*$G$7,1)</f>
        <v>135</v>
      </c>
      <c r="G38" s="101">
        <v>1</v>
      </c>
    </row>
    <row r="39" spans="1:7" s="91" customFormat="1" ht="12.75">
      <c r="A39" s="37"/>
      <c r="B39" s="104" t="s">
        <v>39</v>
      </c>
      <c r="C39" s="102">
        <f>IF(C37="ano",C38*$G$3,0)</f>
        <v>0</v>
      </c>
      <c r="D39" s="103">
        <f>IF(C37="ano",D38*$G$3,0)</f>
        <v>0</v>
      </c>
      <c r="E39" s="102">
        <f>IF(C37="ano",E38*$G$3,0)</f>
        <v>0</v>
      </c>
      <c r="F39" s="103">
        <f>IF(C37="ano",F38*$G$3,0)</f>
        <v>0</v>
      </c>
      <c r="G39" s="105">
        <f>IF(C37="ano",G38*$G$3,0)</f>
        <v>0</v>
      </c>
    </row>
    <row r="40" spans="1:7" s="10" customFormat="1" ht="7.5" customHeight="1">
      <c r="A40" s="37"/>
      <c r="B40" s="37"/>
      <c r="C40" s="38"/>
      <c r="D40" s="39"/>
      <c r="E40" s="38"/>
      <c r="F40" s="39"/>
      <c r="G40" s="92"/>
    </row>
    <row r="41" spans="1:7" s="91" customFormat="1" ht="12.75">
      <c r="A41" s="100" t="s">
        <v>105</v>
      </c>
      <c r="B41" s="94" t="s">
        <v>47</v>
      </c>
      <c r="C41" s="118" t="s">
        <v>43</v>
      </c>
    </row>
    <row r="42" spans="1:7" s="91" customFormat="1" ht="12.75">
      <c r="A42" s="101" t="s">
        <v>65</v>
      </c>
      <c r="B42" s="101" t="s">
        <v>66</v>
      </c>
      <c r="C42" s="102">
        <v>9</v>
      </c>
      <c r="D42" s="103">
        <f>ROUNDUP(+C42*$G$7,1)</f>
        <v>225</v>
      </c>
      <c r="E42" s="102">
        <f>ROUNDUP(+C42*0.9,1)</f>
        <v>8.1</v>
      </c>
      <c r="F42" s="103">
        <f>+ROUNDUP(E42*$G$7,1)</f>
        <v>202.5</v>
      </c>
      <c r="G42" s="101">
        <v>1</v>
      </c>
    </row>
    <row r="43" spans="1:7" s="91" customFormat="1" ht="12.75">
      <c r="A43" s="37"/>
      <c r="B43" s="104" t="s">
        <v>39</v>
      </c>
      <c r="C43" s="102">
        <f>IF(C41="ano",C42*$G$3,0)</f>
        <v>0</v>
      </c>
      <c r="D43" s="103">
        <f>IF(C41="ano",D42*$G$3,0)</f>
        <v>0</v>
      </c>
      <c r="E43" s="102">
        <f>IF(C41="ano",E42*$G$3,0)</f>
        <v>0</v>
      </c>
      <c r="F43" s="103">
        <f>IF(C41="ano",F42*$G$3,0)</f>
        <v>0</v>
      </c>
      <c r="G43" s="105">
        <f>IF(C41="ano",G42*$G$3,0)</f>
        <v>0</v>
      </c>
    </row>
    <row r="44" spans="1:7" s="10" customFormat="1" ht="7.5" customHeight="1">
      <c r="A44" s="37"/>
      <c r="B44" s="37"/>
      <c r="C44" s="38"/>
      <c r="D44" s="39"/>
      <c r="E44" s="38"/>
      <c r="F44" s="39"/>
      <c r="G44" s="92"/>
    </row>
    <row r="45" spans="1:7" s="88" customFormat="1" ht="12.75"/>
    <row r="46" spans="1:7" s="4" customFormat="1" thickBot="1">
      <c r="A46" s="117" t="s">
        <v>90</v>
      </c>
      <c r="B46" s="117"/>
    </row>
    <row r="47" spans="1:7" s="88" customFormat="1" ht="15">
      <c r="A47"/>
      <c r="B47"/>
    </row>
    <row r="48" spans="1:7" s="91" customFormat="1" ht="12.75">
      <c r="A48" s="106" t="s">
        <v>117</v>
      </c>
      <c r="B48" s="94" t="s">
        <v>109</v>
      </c>
      <c r="C48" s="118">
        <v>0</v>
      </c>
    </row>
    <row r="49" spans="1:7" s="91" customFormat="1" ht="12.75">
      <c r="A49" s="107" t="s">
        <v>27</v>
      </c>
      <c r="B49" s="107" t="s">
        <v>28</v>
      </c>
      <c r="C49" s="108">
        <v>46</v>
      </c>
      <c r="D49" s="109">
        <f>ROUNDUP(+C49*$G$7,1)</f>
        <v>1150</v>
      </c>
      <c r="E49" s="108">
        <f>ROUNDUP(+C49*0.9,1)</f>
        <v>41.4</v>
      </c>
      <c r="F49" s="109">
        <f>+ROUNDUP(E49*$G$7,1)</f>
        <v>1035</v>
      </c>
      <c r="G49" s="107">
        <v>10</v>
      </c>
    </row>
    <row r="50" spans="1:7" s="91" customFormat="1" ht="12.75">
      <c r="A50" s="37"/>
      <c r="B50" s="110" t="s">
        <v>39</v>
      </c>
      <c r="C50" s="108">
        <f>$C48*C49</f>
        <v>0</v>
      </c>
      <c r="D50" s="109">
        <f t="shared" ref="D50:F50" si="0">$C48*D49</f>
        <v>0</v>
      </c>
      <c r="E50" s="108">
        <f t="shared" si="0"/>
        <v>0</v>
      </c>
      <c r="F50" s="109">
        <f t="shared" si="0"/>
        <v>0</v>
      </c>
      <c r="G50" s="111">
        <f>C48*G49</f>
        <v>0</v>
      </c>
    </row>
    <row r="51" spans="1:7" s="10" customFormat="1" ht="7.5" customHeight="1">
      <c r="A51" s="37"/>
      <c r="B51" s="37"/>
      <c r="C51" s="38"/>
      <c r="D51" s="39"/>
      <c r="E51" s="38"/>
      <c r="F51" s="39"/>
      <c r="G51" s="92"/>
    </row>
    <row r="52" spans="1:7" s="91" customFormat="1" ht="12.75">
      <c r="A52" s="106" t="s">
        <v>116</v>
      </c>
      <c r="B52" s="94" t="s">
        <v>109</v>
      </c>
      <c r="C52" s="118">
        <v>0</v>
      </c>
    </row>
    <row r="53" spans="1:7" s="91" customFormat="1" ht="12.75">
      <c r="A53" s="107" t="s">
        <v>15</v>
      </c>
      <c r="B53" s="107" t="s">
        <v>16</v>
      </c>
      <c r="C53" s="108">
        <v>63</v>
      </c>
      <c r="D53" s="109">
        <f>ROUNDUP(+C53*$G$7,1)</f>
        <v>1575</v>
      </c>
      <c r="E53" s="108">
        <f>ROUNDUP(+C53*0.9,1)</f>
        <v>56.7</v>
      </c>
      <c r="F53" s="109">
        <f>+ROUNDUP(E53*$G$7,1)</f>
        <v>1417.5</v>
      </c>
      <c r="G53" s="107">
        <v>10</v>
      </c>
    </row>
    <row r="54" spans="1:7" s="91" customFormat="1" ht="12.75">
      <c r="A54" s="37"/>
      <c r="B54" s="110" t="s">
        <v>39</v>
      </c>
      <c r="C54" s="108">
        <f>$C52*C53</f>
        <v>0</v>
      </c>
      <c r="D54" s="109">
        <f t="shared" ref="D54" si="1">$C52*D53</f>
        <v>0</v>
      </c>
      <c r="E54" s="108">
        <f t="shared" ref="E54" si="2">$C52*E53</f>
        <v>0</v>
      </c>
      <c r="F54" s="109">
        <f t="shared" ref="F54" si="3">$C52*F53</f>
        <v>0</v>
      </c>
      <c r="G54" s="111">
        <f>C52*G53</f>
        <v>0</v>
      </c>
    </row>
    <row r="55" spans="1:7" s="10" customFormat="1" ht="7.5" customHeight="1">
      <c r="A55" s="37"/>
      <c r="B55" s="37"/>
      <c r="C55" s="38"/>
      <c r="D55" s="39"/>
      <c r="E55" s="38"/>
      <c r="F55" s="39"/>
      <c r="G55" s="92"/>
    </row>
    <row r="56" spans="1:7" s="91" customFormat="1" ht="12.75">
      <c r="A56" s="106" t="s">
        <v>60</v>
      </c>
      <c r="B56" s="94" t="s">
        <v>109</v>
      </c>
      <c r="C56" s="118">
        <v>0</v>
      </c>
    </row>
    <row r="57" spans="1:7" s="91" customFormat="1" ht="12.75">
      <c r="A57" s="107" t="s">
        <v>58</v>
      </c>
      <c r="B57" s="107" t="s">
        <v>59</v>
      </c>
      <c r="C57" s="108">
        <v>396</v>
      </c>
      <c r="D57" s="109">
        <f>ROUNDUP(+C57*$G$7,1)</f>
        <v>9900</v>
      </c>
      <c r="E57" s="108">
        <f>ROUNDUP(+C57*0.9,1)</f>
        <v>356.4</v>
      </c>
      <c r="F57" s="109">
        <f>+ROUNDUP(E57*$G$7,1)</f>
        <v>8910</v>
      </c>
      <c r="G57" s="107">
        <v>50</v>
      </c>
    </row>
    <row r="58" spans="1:7" s="91" customFormat="1" ht="12.75">
      <c r="A58" s="37"/>
      <c r="B58" s="110" t="s">
        <v>39</v>
      </c>
      <c r="C58" s="108">
        <f>$C56*C57</f>
        <v>0</v>
      </c>
      <c r="D58" s="109">
        <f t="shared" ref="D58" si="4">$C56*D57</f>
        <v>0</v>
      </c>
      <c r="E58" s="108">
        <f t="shared" ref="E58" si="5">$C56*E57</f>
        <v>0</v>
      </c>
      <c r="F58" s="109">
        <f t="shared" ref="F58" si="6">$C56*F57</f>
        <v>0</v>
      </c>
      <c r="G58" s="111">
        <f>C56*G57</f>
        <v>0</v>
      </c>
    </row>
    <row r="59" spans="1:7" s="10" customFormat="1" ht="7.5" customHeight="1">
      <c r="A59" s="37"/>
      <c r="B59" s="37"/>
      <c r="C59" s="38"/>
      <c r="D59" s="39"/>
      <c r="E59" s="38"/>
      <c r="F59" s="39"/>
      <c r="G59" s="92"/>
    </row>
    <row r="60" spans="1:7" s="91" customFormat="1" ht="12.75">
      <c r="A60" s="106" t="s">
        <v>115</v>
      </c>
      <c r="B60" s="94" t="s">
        <v>109</v>
      </c>
      <c r="C60" s="118">
        <v>0</v>
      </c>
    </row>
    <row r="61" spans="1:7" s="91" customFormat="1" ht="12.75">
      <c r="A61" s="107" t="s">
        <v>81</v>
      </c>
      <c r="B61" s="107" t="s">
        <v>82</v>
      </c>
      <c r="C61" s="108">
        <v>61</v>
      </c>
      <c r="D61" s="109">
        <f>ROUNDUP(+C61*$G$7,1)</f>
        <v>1525</v>
      </c>
      <c r="E61" s="108">
        <f>ROUNDUP(+C61*0.9,1)</f>
        <v>54.9</v>
      </c>
      <c r="F61" s="109">
        <f>+ROUNDUP(E61*$G$7,1)</f>
        <v>1372.5</v>
      </c>
      <c r="G61" s="107">
        <v>5</v>
      </c>
    </row>
    <row r="62" spans="1:7" s="91" customFormat="1" ht="12.75">
      <c r="A62" s="37"/>
      <c r="B62" s="110" t="s">
        <v>39</v>
      </c>
      <c r="C62" s="108">
        <f>$C60*C61</f>
        <v>0</v>
      </c>
      <c r="D62" s="109">
        <f t="shared" ref="D62" si="7">$C60*D61</f>
        <v>0</v>
      </c>
      <c r="E62" s="108">
        <f t="shared" ref="E62" si="8">$C60*E61</f>
        <v>0</v>
      </c>
      <c r="F62" s="109">
        <f t="shared" ref="F62" si="9">$C60*F61</f>
        <v>0</v>
      </c>
      <c r="G62" s="111">
        <f>C60*G61</f>
        <v>0</v>
      </c>
    </row>
    <row r="63" spans="1:7" s="10" customFormat="1" ht="7.5" customHeight="1">
      <c r="A63" s="37"/>
      <c r="B63" s="37"/>
      <c r="C63" s="38"/>
      <c r="D63" s="39"/>
      <c r="E63" s="38"/>
      <c r="F63" s="39"/>
      <c r="G63" s="92"/>
    </row>
    <row r="64" spans="1:7" s="91" customFormat="1" ht="12.75">
      <c r="A64" s="106" t="s">
        <v>114</v>
      </c>
      <c r="B64" s="94" t="s">
        <v>109</v>
      </c>
      <c r="C64" s="118">
        <v>0</v>
      </c>
    </row>
    <row r="65" spans="1:7" s="91" customFormat="1" ht="12.75">
      <c r="A65" s="107" t="s">
        <v>56</v>
      </c>
      <c r="B65" s="107" t="s">
        <v>57</v>
      </c>
      <c r="C65" s="108">
        <v>116</v>
      </c>
      <c r="D65" s="109">
        <f>ROUNDUP(+C65*$G$7,1)</f>
        <v>2900</v>
      </c>
      <c r="E65" s="108">
        <f>ROUNDUP(+C65*0.9,1)</f>
        <v>104.4</v>
      </c>
      <c r="F65" s="109">
        <f>+ROUNDUP(E65*$G$7,1)</f>
        <v>2610</v>
      </c>
      <c r="G65" s="107">
        <v>25</v>
      </c>
    </row>
    <row r="66" spans="1:7" s="91" customFormat="1" ht="12.75">
      <c r="A66" s="37"/>
      <c r="B66" s="110" t="s">
        <v>39</v>
      </c>
      <c r="C66" s="108">
        <f>$C64*C65</f>
        <v>0</v>
      </c>
      <c r="D66" s="109">
        <f t="shared" ref="D66" si="10">$C64*D65</f>
        <v>0</v>
      </c>
      <c r="E66" s="108">
        <f t="shared" ref="E66" si="11">$C64*E65</f>
        <v>0</v>
      </c>
      <c r="F66" s="109">
        <f t="shared" ref="F66" si="12">$C64*F65</f>
        <v>0</v>
      </c>
      <c r="G66" s="111">
        <f>C64*G65</f>
        <v>0</v>
      </c>
    </row>
    <row r="67" spans="1:7" s="10" customFormat="1" ht="7.5" customHeight="1">
      <c r="A67" s="37"/>
      <c r="B67" s="37"/>
      <c r="C67" s="38"/>
      <c r="D67" s="39"/>
      <c r="E67" s="38"/>
      <c r="F67" s="39"/>
      <c r="G67" s="92"/>
    </row>
    <row r="68" spans="1:7" s="91" customFormat="1" ht="12.75">
      <c r="A68" s="106" t="s">
        <v>113</v>
      </c>
      <c r="B68" s="94" t="s">
        <v>109</v>
      </c>
      <c r="C68" s="118">
        <v>0</v>
      </c>
    </row>
    <row r="69" spans="1:7" s="91" customFormat="1" ht="12.75">
      <c r="A69" s="107" t="s">
        <v>13</v>
      </c>
      <c r="B69" s="107" t="s">
        <v>14</v>
      </c>
      <c r="C69" s="108">
        <v>80</v>
      </c>
      <c r="D69" s="109">
        <f>ROUNDUP(+C69*$G$7,1)</f>
        <v>2000</v>
      </c>
      <c r="E69" s="108">
        <f>ROUNDUP(+C69*0.9,1)</f>
        <v>72</v>
      </c>
      <c r="F69" s="109">
        <f>+ROUNDUP(E69*$G$7,1)</f>
        <v>1800</v>
      </c>
      <c r="G69" s="107">
        <v>15</v>
      </c>
    </row>
    <row r="70" spans="1:7" s="91" customFormat="1" ht="12.75">
      <c r="A70" s="37"/>
      <c r="B70" s="110" t="s">
        <v>39</v>
      </c>
      <c r="C70" s="108">
        <f>$C68*C69</f>
        <v>0</v>
      </c>
      <c r="D70" s="109">
        <f t="shared" ref="D70" si="13">$C68*D69</f>
        <v>0</v>
      </c>
      <c r="E70" s="108">
        <f t="shared" ref="E70" si="14">$C68*E69</f>
        <v>0</v>
      </c>
      <c r="F70" s="109">
        <f t="shared" ref="F70" si="15">$C68*F69</f>
        <v>0</v>
      </c>
      <c r="G70" s="111">
        <f>C68*G69</f>
        <v>0</v>
      </c>
    </row>
    <row r="71" spans="1:7" s="10" customFormat="1" ht="7.5" customHeight="1">
      <c r="A71" s="37"/>
      <c r="B71" s="37"/>
      <c r="C71" s="38"/>
      <c r="D71" s="39"/>
      <c r="E71" s="38"/>
      <c r="F71" s="39"/>
      <c r="G71" s="92"/>
    </row>
    <row r="72" spans="1:7" s="91" customFormat="1" ht="12.75">
      <c r="A72" s="106" t="s">
        <v>110</v>
      </c>
      <c r="B72" s="94" t="s">
        <v>109</v>
      </c>
      <c r="C72" s="118">
        <v>0</v>
      </c>
    </row>
    <row r="73" spans="1:7" s="91" customFormat="1" ht="12.75">
      <c r="A73" s="107" t="s">
        <v>11</v>
      </c>
      <c r="B73" s="107" t="s">
        <v>12</v>
      </c>
      <c r="C73" s="108">
        <v>514</v>
      </c>
      <c r="D73" s="109">
        <f>ROUNDUP(+C73*$G$7,1)</f>
        <v>12850</v>
      </c>
      <c r="E73" s="108">
        <f>ROUNDUP(+C73*0.9,1)</f>
        <v>462.6</v>
      </c>
      <c r="F73" s="109">
        <f>+ROUNDUP(E73*$G$7,1)</f>
        <v>11565</v>
      </c>
      <c r="G73" s="107">
        <v>50</v>
      </c>
    </row>
    <row r="74" spans="1:7" s="91" customFormat="1" ht="12.75">
      <c r="A74" s="37"/>
      <c r="B74" s="110" t="s">
        <v>39</v>
      </c>
      <c r="C74" s="108">
        <f>$C72*C73</f>
        <v>0</v>
      </c>
      <c r="D74" s="109">
        <f t="shared" ref="D74" si="16">$C72*D73</f>
        <v>0</v>
      </c>
      <c r="E74" s="108">
        <f t="shared" ref="E74" si="17">$C72*E73</f>
        <v>0</v>
      </c>
      <c r="F74" s="109">
        <f t="shared" ref="F74" si="18">$C72*F73</f>
        <v>0</v>
      </c>
      <c r="G74" s="111">
        <f>C72*G73</f>
        <v>0</v>
      </c>
    </row>
    <row r="75" spans="1:7" s="10" customFormat="1" ht="7.5" customHeight="1">
      <c r="A75" s="37"/>
      <c r="B75" s="37"/>
      <c r="C75" s="38"/>
      <c r="D75" s="39"/>
      <c r="E75" s="38"/>
      <c r="F75" s="39"/>
      <c r="G75" s="92"/>
    </row>
    <row r="76" spans="1:7" s="91" customFormat="1" ht="12.75">
      <c r="A76" s="106" t="s">
        <v>111</v>
      </c>
      <c r="B76" s="94" t="s">
        <v>109</v>
      </c>
      <c r="C76" s="118">
        <v>0</v>
      </c>
    </row>
    <row r="77" spans="1:7" s="91" customFormat="1" ht="12.75">
      <c r="A77" s="107" t="s">
        <v>69</v>
      </c>
      <c r="B77" s="107" t="s">
        <v>70</v>
      </c>
      <c r="C77" s="108">
        <v>1542</v>
      </c>
      <c r="D77" s="109">
        <f>ROUNDUP(+C77*$G$7,1)</f>
        <v>38550</v>
      </c>
      <c r="E77" s="108">
        <f>ROUNDUP(+C77*0.9,1)</f>
        <v>1387.8</v>
      </c>
      <c r="F77" s="109">
        <f>+ROUNDUP(E77*$G$7,1)</f>
        <v>34695</v>
      </c>
      <c r="G77" s="107">
        <v>125</v>
      </c>
    </row>
    <row r="78" spans="1:7" s="91" customFormat="1" ht="12.75">
      <c r="A78" s="37"/>
      <c r="B78" s="110" t="s">
        <v>39</v>
      </c>
      <c r="C78" s="108">
        <f>$C76*C77</f>
        <v>0</v>
      </c>
      <c r="D78" s="109">
        <f t="shared" ref="D78" si="19">$C76*D77</f>
        <v>0</v>
      </c>
      <c r="E78" s="108">
        <f t="shared" ref="E78" si="20">$C76*E77</f>
        <v>0</v>
      </c>
      <c r="F78" s="109">
        <f t="shared" ref="F78" si="21">$C76*F77</f>
        <v>0</v>
      </c>
      <c r="G78" s="111">
        <f>C76*G77</f>
        <v>0</v>
      </c>
    </row>
    <row r="79" spans="1:7" s="10" customFormat="1" ht="7.5" customHeight="1">
      <c r="A79" s="37"/>
      <c r="B79" s="37"/>
      <c r="C79" s="38"/>
      <c r="D79" s="39"/>
      <c r="E79" s="38"/>
      <c r="F79" s="39"/>
      <c r="G79" s="92"/>
    </row>
    <row r="80" spans="1:7" s="91" customFormat="1" ht="12.75">
      <c r="A80" s="106" t="s">
        <v>112</v>
      </c>
      <c r="B80" s="94" t="s">
        <v>109</v>
      </c>
      <c r="C80" s="118">
        <v>0</v>
      </c>
    </row>
    <row r="81" spans="1:7" s="91" customFormat="1" ht="12.75">
      <c r="A81" s="107" t="s">
        <v>52</v>
      </c>
      <c r="B81" s="107" t="s">
        <v>53</v>
      </c>
      <c r="C81" s="108">
        <v>210</v>
      </c>
      <c r="D81" s="109">
        <f>ROUNDUP(+C81*$G$7,1)</f>
        <v>5250</v>
      </c>
      <c r="E81" s="108">
        <f>ROUNDUP(+C81*0.9,1)</f>
        <v>189</v>
      </c>
      <c r="F81" s="109">
        <f>+ROUNDUP(E81*$G$7,1)</f>
        <v>4725</v>
      </c>
      <c r="G81" s="107">
        <v>5</v>
      </c>
    </row>
    <row r="82" spans="1:7" s="91" customFormat="1" ht="12.75">
      <c r="A82" s="37"/>
      <c r="B82" s="110" t="s">
        <v>39</v>
      </c>
      <c r="C82" s="108">
        <f>$C80*C81</f>
        <v>0</v>
      </c>
      <c r="D82" s="109">
        <f t="shared" ref="D82" si="22">$C80*D81</f>
        <v>0</v>
      </c>
      <c r="E82" s="108">
        <f t="shared" ref="E82" si="23">$C80*E81</f>
        <v>0</v>
      </c>
      <c r="F82" s="109">
        <f t="shared" ref="F82" si="24">$C80*F81</f>
        <v>0</v>
      </c>
      <c r="G82" s="111">
        <f>C80*G81</f>
        <v>0</v>
      </c>
    </row>
    <row r="85" spans="1:7">
      <c r="A85" s="88" t="s">
        <v>34</v>
      </c>
    </row>
  </sheetData>
  <sheetProtection sheet="1" objects="1" scenarios="1" formatCells="0" formatColumns="0" formatRows="0" insertColumns="0" insertRows="0" insertHyperlinks="0" deleteColumns="0" deleteRows="0" sort="0" autoFilter="0" pivotTables="0"/>
  <sortState ref="A22:C36">
    <sortCondition ref="B22"/>
  </sortState>
  <mergeCells count="5">
    <mergeCell ref="C17:D17"/>
    <mergeCell ref="E17:F17"/>
    <mergeCell ref="A4:G4"/>
    <mergeCell ref="A16:G16"/>
    <mergeCell ref="A6:G6"/>
  </mergeCells>
  <conditionalFormatting sqref="G5">
    <cfRule type="cellIs" dxfId="1" priority="1" operator="lessThan">
      <formula>300</formula>
    </cfRule>
  </conditionalFormatting>
  <dataValidations count="2">
    <dataValidation type="list" allowBlank="1" showInputMessage="1" showErrorMessage="1" sqref="C41 C25 C29 C37 C33">
      <formula1>$N$1:$N$2</formula1>
    </dataValidation>
    <dataValidation type="whole" operator="greaterThanOrEqual" allowBlank="1" showInputMessage="1" showErrorMessage="1" sqref="C48 C52 C56 C60 C64 C68 C72 C76 C80">
      <formula1>0</formula1>
    </dataValidation>
  </dataValidations>
  <pageMargins left="0.31496062992125984" right="0.31496062992125984" top="0.35433070866141736" bottom="0.35433070866141736" header="0.11811023622047245" footer="0.11811023622047245"/>
  <pageSetup paperSize="9" scale="75" fitToHeight="15"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N100"/>
  <sheetViews>
    <sheetView showGridLines="0" zoomScale="80" zoomScaleNormal="80" workbookViewId="0">
      <pane ySplit="13" topLeftCell="A14" activePane="bottomLeft" state="frozen"/>
      <selection pane="bottomLeft" activeCell="B61" sqref="B61:F61"/>
    </sheetView>
  </sheetViews>
  <sheetFormatPr defaultRowHeight="15.75"/>
  <cols>
    <col min="1" max="1" width="24.85546875" style="1" customWidth="1"/>
    <col min="2" max="2" width="67" style="1" bestFit="1" customWidth="1"/>
    <col min="3" max="7" width="17.85546875" style="1" customWidth="1"/>
    <col min="8" max="8" width="17.7109375" style="1" customWidth="1"/>
    <col min="9" max="9" width="4.85546875" style="1" bestFit="1" customWidth="1"/>
    <col min="10" max="13" width="9.140625" style="1"/>
    <col min="14" max="14" width="0" style="1" hidden="1" customWidth="1"/>
    <col min="15" max="16384" width="9.140625" style="1"/>
  </cols>
  <sheetData>
    <row r="1" spans="1:14" ht="21.75" thickBot="1">
      <c r="A1" s="120" t="s">
        <v>107</v>
      </c>
      <c r="B1" s="121"/>
      <c r="C1" s="121"/>
      <c r="D1" s="121"/>
      <c r="E1" s="121"/>
      <c r="F1" s="121"/>
      <c r="G1" s="121"/>
      <c r="N1" s="1" t="s">
        <v>46</v>
      </c>
    </row>
    <row r="2" spans="1:14" customFormat="1" ht="33" customHeight="1" thickTop="1" thickBot="1">
      <c r="A2" s="122"/>
      <c r="B2" s="122"/>
      <c r="C2" s="122"/>
      <c r="D2" s="122"/>
      <c r="E2" s="122"/>
      <c r="F2" s="122"/>
      <c r="G2" s="122"/>
      <c r="N2" t="s">
        <v>43</v>
      </c>
    </row>
    <row r="3" spans="1:14" ht="18.75" thickTop="1" thickBot="1">
      <c r="A3" s="123" t="s">
        <v>36</v>
      </c>
      <c r="B3" s="123"/>
      <c r="C3" s="123"/>
      <c r="D3" s="123"/>
      <c r="E3" s="123"/>
      <c r="F3" s="123"/>
      <c r="G3" s="128"/>
    </row>
    <row r="4" spans="1:14" ht="47.25" customHeight="1" thickTop="1">
      <c r="A4" s="130" t="s">
        <v>108</v>
      </c>
      <c r="B4" s="130"/>
      <c r="C4" s="130"/>
      <c r="D4" s="130"/>
      <c r="E4" s="130"/>
      <c r="F4" s="130"/>
      <c r="G4" s="130"/>
    </row>
    <row r="5" spans="1:14" ht="18" thickBot="1">
      <c r="A5" s="123" t="s">
        <v>40</v>
      </c>
      <c r="B5" s="123"/>
      <c r="C5" s="123"/>
      <c r="D5" s="123"/>
      <c r="E5" s="123"/>
      <c r="F5" s="123"/>
      <c r="G5" s="115">
        <f>SUM(G20,G27,G31,G35,G39,G43,G50,G54,G58,G62,G66,G70,G74,G78,G82,G86,G90,G94,G98)</f>
        <v>0</v>
      </c>
    </row>
    <row r="6" spans="1:14" ht="29.25" customHeight="1" thickTop="1" thickBot="1">
      <c r="A6" s="130" t="s">
        <v>144</v>
      </c>
      <c r="B6" s="130"/>
      <c r="C6" s="130"/>
      <c r="D6" s="130"/>
      <c r="E6" s="130"/>
      <c r="F6" s="130"/>
      <c r="G6" s="130"/>
    </row>
    <row r="7" spans="1:14" ht="18.75" thickTop="1" thickBot="1">
      <c r="A7" s="123" t="s">
        <v>37</v>
      </c>
      <c r="B7" s="123"/>
      <c r="C7" s="123"/>
      <c r="D7" s="123"/>
      <c r="E7" s="123"/>
      <c r="F7" s="123"/>
      <c r="G7" s="128">
        <v>25</v>
      </c>
    </row>
    <row r="8" spans="1:14" ht="16.5" thickTop="1">
      <c r="A8" s="124"/>
      <c r="B8" s="125"/>
      <c r="C8" s="125"/>
      <c r="D8" s="125"/>
      <c r="E8" s="125"/>
      <c r="F8" s="125"/>
      <c r="G8" s="125"/>
    </row>
    <row r="9" spans="1:14" ht="18" thickBot="1">
      <c r="A9" s="123" t="s">
        <v>106</v>
      </c>
      <c r="B9" s="123"/>
      <c r="C9" s="123"/>
      <c r="D9" s="123"/>
      <c r="E9" s="123"/>
      <c r="F9" s="116">
        <f>SUM(D20,D27,D31,D35,D39,D43,D50,D54,D58,D62,D66,D70,D74,D78,D82,D86,D90,D94,D98)</f>
        <v>0</v>
      </c>
      <c r="G9" s="116">
        <f>SUM(F20,F27,F31,F35,F39,F43,F50,F54,F58,F62,F66,F70,F74,F78,F82,F86,F90,F94,F98)</f>
        <v>0</v>
      </c>
    </row>
    <row r="10" spans="1:14" ht="18.75" thickTop="1" thickBot="1">
      <c r="A10" s="126"/>
      <c r="B10" s="126"/>
      <c r="C10" s="126"/>
      <c r="D10" s="126"/>
      <c r="E10" s="126"/>
      <c r="F10" s="119"/>
      <c r="G10" s="119"/>
    </row>
    <row r="11" spans="1:14" ht="18.75" thickTop="1" thickBot="1">
      <c r="A11" s="123" t="s">
        <v>129</v>
      </c>
      <c r="B11" s="123"/>
      <c r="C11" s="128"/>
      <c r="D11" s="123"/>
      <c r="E11" s="127" t="s">
        <v>130</v>
      </c>
      <c r="F11" s="116">
        <f>IF($C$11=0,0,F9/$C$11)</f>
        <v>0</v>
      </c>
      <c r="G11" s="116">
        <f>IF($C$11=0,0,G9/$C$11)</f>
        <v>0</v>
      </c>
    </row>
    <row r="12" spans="1:14" ht="16.5" thickTop="1">
      <c r="A12" s="113"/>
      <c r="B12" s="114"/>
      <c r="C12" s="114"/>
      <c r="D12" s="114"/>
      <c r="E12" s="114"/>
      <c r="F12" s="114"/>
      <c r="G12" s="114"/>
    </row>
    <row r="13" spans="1:14" ht="20.25" thickBot="1">
      <c r="A13" s="112" t="s">
        <v>89</v>
      </c>
      <c r="B13" s="112"/>
      <c r="C13" s="112"/>
      <c r="D13" s="112"/>
      <c r="E13" s="112"/>
      <c r="F13" s="112"/>
      <c r="G13" s="112"/>
    </row>
    <row r="14" spans="1:14" ht="16.5" thickTop="1">
      <c r="A14"/>
    </row>
    <row r="15" spans="1:14" ht="16.5" thickBot="1">
      <c r="A15" s="5" t="s">
        <v>94</v>
      </c>
      <c r="B15" s="5"/>
    </row>
    <row r="16" spans="1:14" ht="77.25" customHeight="1">
      <c r="A16" s="131" t="s">
        <v>128</v>
      </c>
      <c r="B16" s="131"/>
      <c r="C16" s="131"/>
      <c r="D16" s="131"/>
      <c r="E16" s="131"/>
      <c r="F16" s="131"/>
      <c r="G16" s="131"/>
    </row>
    <row r="17" spans="1:9" s="82" customFormat="1" ht="30" customHeight="1">
      <c r="A17" s="78" t="s">
        <v>32</v>
      </c>
      <c r="B17" s="79" t="s">
        <v>31</v>
      </c>
      <c r="C17" s="129" t="s">
        <v>33</v>
      </c>
      <c r="D17" s="129"/>
      <c r="E17" s="129" t="s">
        <v>35</v>
      </c>
      <c r="F17" s="129"/>
      <c r="G17" s="80" t="s">
        <v>38</v>
      </c>
      <c r="H17" s="81"/>
    </row>
    <row r="18" spans="1:9" s="88" customFormat="1" ht="12.75">
      <c r="A18" s="83" t="s">
        <v>20</v>
      </c>
      <c r="B18" s="84" t="s">
        <v>21</v>
      </c>
      <c r="C18" s="85">
        <v>71</v>
      </c>
      <c r="D18" s="86">
        <f>ROUNDUP(+C18*$G$7,1)</f>
        <v>1775</v>
      </c>
      <c r="E18" s="85">
        <f>66*0.9</f>
        <v>59.4</v>
      </c>
      <c r="F18" s="86">
        <f>ROUNDUP(+E18*$G$7,1)</f>
        <v>1485</v>
      </c>
      <c r="G18" s="87">
        <v>3</v>
      </c>
      <c r="I18" s="89"/>
    </row>
    <row r="19" spans="1:9" s="88" customFormat="1" ht="12.75"/>
    <row r="20" spans="1:9" s="88" customFormat="1" ht="12.75">
      <c r="B20" s="90" t="s">
        <v>39</v>
      </c>
      <c r="C20" s="85">
        <f>+C18*$G$3</f>
        <v>0</v>
      </c>
      <c r="D20" s="86">
        <f>+D18*$G$3</f>
        <v>0</v>
      </c>
      <c r="E20" s="85">
        <f>+E18*$G$3</f>
        <v>0</v>
      </c>
      <c r="F20" s="86">
        <f>+F18*$G$3</f>
        <v>0</v>
      </c>
      <c r="G20" s="87">
        <f>+G18*$G$3</f>
        <v>0</v>
      </c>
    </row>
    <row r="23" spans="1:9" ht="16.5" thickBot="1">
      <c r="A23" s="5" t="s">
        <v>102</v>
      </c>
      <c r="B23" s="5"/>
    </row>
    <row r="25" spans="1:9" s="91" customFormat="1" ht="12.75">
      <c r="A25" s="93" t="s">
        <v>26</v>
      </c>
      <c r="B25" s="94" t="s">
        <v>47</v>
      </c>
      <c r="C25" s="118" t="s">
        <v>43</v>
      </c>
    </row>
    <row r="26" spans="1:9" s="91" customFormat="1" ht="12.75">
      <c r="A26" s="95" t="s">
        <v>24</v>
      </c>
      <c r="B26" s="95" t="s">
        <v>25</v>
      </c>
      <c r="C26" s="96">
        <v>6</v>
      </c>
      <c r="D26" s="97">
        <f>ROUNDUP(+C26*$G$7,1)</f>
        <v>150</v>
      </c>
      <c r="E26" s="96">
        <f>ROUNDUP(+C26*0.9,1)</f>
        <v>5.4</v>
      </c>
      <c r="F26" s="97">
        <f>+ROUNDUP(E26*$G$7,1)</f>
        <v>135</v>
      </c>
      <c r="G26" s="95">
        <v>1</v>
      </c>
    </row>
    <row r="27" spans="1:9" s="91" customFormat="1" ht="12.75">
      <c r="A27" s="37"/>
      <c r="B27" s="98" t="s">
        <v>39</v>
      </c>
      <c r="C27" s="96">
        <f>IF(C25="ano",C26*$G$3,0)</f>
        <v>0</v>
      </c>
      <c r="D27" s="97">
        <f>IF(C25="ano",D26*$G$3,0)</f>
        <v>0</v>
      </c>
      <c r="E27" s="96">
        <f>IF(C25="ano",E26*$G$3,0)</f>
        <v>0</v>
      </c>
      <c r="F27" s="97">
        <f>IF(C25="ano",F26*$G$3,0)</f>
        <v>0</v>
      </c>
      <c r="G27" s="99">
        <f>IF(C25="ano",G26*$G$3,0)</f>
        <v>0</v>
      </c>
    </row>
    <row r="28" spans="1:9" s="10" customFormat="1" ht="7.5" customHeight="1">
      <c r="A28" s="37"/>
      <c r="B28" s="37"/>
      <c r="C28" s="38"/>
      <c r="D28" s="39"/>
      <c r="E28" s="38"/>
      <c r="F28" s="39"/>
      <c r="G28" s="92"/>
    </row>
    <row r="29" spans="1:9" s="91" customFormat="1" ht="12.75">
      <c r="A29" s="93" t="s">
        <v>45</v>
      </c>
      <c r="B29" s="94" t="s">
        <v>47</v>
      </c>
      <c r="C29" s="118" t="s">
        <v>43</v>
      </c>
    </row>
    <row r="30" spans="1:9" s="91" customFormat="1" ht="12.75">
      <c r="A30" s="95" t="s">
        <v>41</v>
      </c>
      <c r="B30" s="95" t="s">
        <v>42</v>
      </c>
      <c r="C30" s="96">
        <v>6</v>
      </c>
      <c r="D30" s="97">
        <f>ROUNDUP(+C30*$G$7,1)</f>
        <v>150</v>
      </c>
      <c r="E30" s="96">
        <f>ROUNDUP(+C30*0.9,1)</f>
        <v>5.4</v>
      </c>
      <c r="F30" s="97">
        <f>+ROUNDUP(E30*$G$7,1)</f>
        <v>135</v>
      </c>
      <c r="G30" s="95">
        <v>1</v>
      </c>
    </row>
    <row r="31" spans="1:9" s="91" customFormat="1" ht="12.75">
      <c r="A31" s="37"/>
      <c r="B31" s="98" t="s">
        <v>39</v>
      </c>
      <c r="C31" s="96">
        <f>IF(C29="ano",C30*$G$3,0)</f>
        <v>0</v>
      </c>
      <c r="D31" s="97">
        <f>IF(C29="ano",D30*$G$3,0)</f>
        <v>0</v>
      </c>
      <c r="E31" s="96">
        <f>IF(C29="ano",E30*$G$3,0)</f>
        <v>0</v>
      </c>
      <c r="F31" s="97">
        <f>IF(C29="ano",F30*$G$3,0)</f>
        <v>0</v>
      </c>
      <c r="G31" s="99">
        <f>IF(C29="ano",G30*$G$3,0)</f>
        <v>0</v>
      </c>
    </row>
    <row r="32" spans="1:9" s="10" customFormat="1" ht="7.5" customHeight="1">
      <c r="A32" s="37"/>
      <c r="B32" s="37"/>
      <c r="C32" s="38"/>
      <c r="D32" s="39"/>
      <c r="E32" s="38"/>
      <c r="F32" s="39"/>
      <c r="G32" s="92"/>
    </row>
    <row r="33" spans="1:7" s="91" customFormat="1" ht="12.75">
      <c r="A33" s="93" t="s">
        <v>44</v>
      </c>
      <c r="B33" s="94" t="s">
        <v>47</v>
      </c>
      <c r="C33" s="118" t="s">
        <v>43</v>
      </c>
    </row>
    <row r="34" spans="1:7" s="91" customFormat="1" ht="12.75">
      <c r="A34" s="95" t="s">
        <v>103</v>
      </c>
      <c r="B34" s="95" t="s">
        <v>104</v>
      </c>
      <c r="C34" s="96">
        <f>12*0.33</f>
        <v>3.96</v>
      </c>
      <c r="D34" s="97">
        <f>ROUNDUP(+C34*$G$7,1)</f>
        <v>99</v>
      </c>
      <c r="E34" s="96">
        <f>ROUNDUP(+C34*0.9,1)</f>
        <v>3.6</v>
      </c>
      <c r="F34" s="97">
        <f>+ROUNDUP(E34*$G$7,1)</f>
        <v>90</v>
      </c>
      <c r="G34" s="95">
        <v>1</v>
      </c>
    </row>
    <row r="35" spans="1:7" s="91" customFormat="1" ht="12.75">
      <c r="A35" s="37"/>
      <c r="B35" s="98" t="s">
        <v>39</v>
      </c>
      <c r="C35" s="96">
        <f>IF(C33="ano",C34*$G$3,0)</f>
        <v>0</v>
      </c>
      <c r="D35" s="97">
        <f>IF(C33="ano",D34*$G$3,0)</f>
        <v>0</v>
      </c>
      <c r="E35" s="96">
        <f>IF(C33="ano",E34*$G$3,0)</f>
        <v>0</v>
      </c>
      <c r="F35" s="97">
        <f>IF(C33="ano",F34*$G$3,0)</f>
        <v>0</v>
      </c>
      <c r="G35" s="99">
        <f>IF(C33="ano",G34*$G$3,0)</f>
        <v>0</v>
      </c>
    </row>
    <row r="36" spans="1:7" s="10" customFormat="1" ht="7.5" customHeight="1">
      <c r="A36" s="37"/>
      <c r="B36" s="37"/>
      <c r="C36" s="38"/>
      <c r="D36" s="39"/>
      <c r="E36" s="38"/>
      <c r="F36" s="39"/>
      <c r="G36" s="92"/>
    </row>
    <row r="37" spans="1:7" s="91" customFormat="1" ht="12.75">
      <c r="A37" s="100" t="s">
        <v>19</v>
      </c>
      <c r="B37" s="94" t="s">
        <v>47</v>
      </c>
      <c r="C37" s="118" t="s">
        <v>43</v>
      </c>
    </row>
    <row r="38" spans="1:7" s="91" customFormat="1" ht="12.75">
      <c r="A38" s="101" t="s">
        <v>17</v>
      </c>
      <c r="B38" s="101" t="s">
        <v>18</v>
      </c>
      <c r="C38" s="102">
        <v>6</v>
      </c>
      <c r="D38" s="103">
        <f>ROUNDUP(+C38*$G$7,1)</f>
        <v>150</v>
      </c>
      <c r="E38" s="102">
        <f>ROUNDUP(+C38*0.9,1)</f>
        <v>5.4</v>
      </c>
      <c r="F38" s="103">
        <f>+ROUNDUP(E38*$G$7,1)</f>
        <v>135</v>
      </c>
      <c r="G38" s="101">
        <v>1</v>
      </c>
    </row>
    <row r="39" spans="1:7" s="91" customFormat="1" ht="12.75">
      <c r="A39" s="37"/>
      <c r="B39" s="104" t="s">
        <v>39</v>
      </c>
      <c r="C39" s="102">
        <f>IF(C37="ano",C38*$G$3,0)</f>
        <v>0</v>
      </c>
      <c r="D39" s="103">
        <f>IF(C37="ano",D38*$G$3,0)</f>
        <v>0</v>
      </c>
      <c r="E39" s="102">
        <f>IF(C37="ano",E38*$G$3,0)</f>
        <v>0</v>
      </c>
      <c r="F39" s="103">
        <f>IF(C37="ano",F38*$G$3,0)</f>
        <v>0</v>
      </c>
      <c r="G39" s="105">
        <f>IF(C37="ano",G38*$G$3,0)</f>
        <v>0</v>
      </c>
    </row>
    <row r="40" spans="1:7" s="10" customFormat="1" ht="7.5" customHeight="1">
      <c r="A40" s="37"/>
      <c r="B40" s="37"/>
      <c r="C40" s="38"/>
      <c r="D40" s="39"/>
      <c r="E40" s="38"/>
      <c r="F40" s="39"/>
      <c r="G40" s="92"/>
    </row>
    <row r="41" spans="1:7" s="91" customFormat="1" ht="12.75">
      <c r="A41" s="100" t="s">
        <v>105</v>
      </c>
      <c r="B41" s="94" t="s">
        <v>47</v>
      </c>
      <c r="C41" s="118" t="s">
        <v>43</v>
      </c>
    </row>
    <row r="42" spans="1:7" s="91" customFormat="1" ht="12.75">
      <c r="A42" s="101" t="s">
        <v>65</v>
      </c>
      <c r="B42" s="101" t="s">
        <v>66</v>
      </c>
      <c r="C42" s="102">
        <v>9</v>
      </c>
      <c r="D42" s="103">
        <f>ROUNDUP(+C42*$G$7,1)</f>
        <v>225</v>
      </c>
      <c r="E42" s="102">
        <f>ROUNDUP(+C42*0.9,1)</f>
        <v>8.1</v>
      </c>
      <c r="F42" s="103">
        <f>+ROUNDUP(E42*$G$7,1)</f>
        <v>202.5</v>
      </c>
      <c r="G42" s="101">
        <v>1</v>
      </c>
    </row>
    <row r="43" spans="1:7" s="91" customFormat="1" ht="12.75">
      <c r="A43" s="37"/>
      <c r="B43" s="104" t="s">
        <v>39</v>
      </c>
      <c r="C43" s="102">
        <f>IF(C41="ano",C42*$G$3,0)</f>
        <v>0</v>
      </c>
      <c r="D43" s="103">
        <f>IF(C41="ano",D42*$G$3,0)</f>
        <v>0</v>
      </c>
      <c r="E43" s="102">
        <f>IF(C41="ano",E42*$G$3,0)</f>
        <v>0</v>
      </c>
      <c r="F43" s="103">
        <f>IF(C41="ano",F42*$G$3,0)</f>
        <v>0</v>
      </c>
      <c r="G43" s="105">
        <f>IF(C41="ano",G42*$G$3,0)</f>
        <v>0</v>
      </c>
    </row>
    <row r="44" spans="1:7" s="10" customFormat="1" ht="7.5" customHeight="1">
      <c r="A44" s="37"/>
      <c r="B44" s="37"/>
      <c r="C44" s="38"/>
      <c r="D44" s="39"/>
      <c r="E44" s="38"/>
      <c r="F44" s="39"/>
      <c r="G44" s="92"/>
    </row>
    <row r="45" spans="1:7" s="88" customFormat="1" ht="12.75"/>
    <row r="46" spans="1:7" s="4" customFormat="1" thickBot="1">
      <c r="A46" s="117" t="s">
        <v>90</v>
      </c>
      <c r="B46" s="117"/>
    </row>
    <row r="47" spans="1:7" s="88" customFormat="1" ht="15">
      <c r="A47"/>
      <c r="B47"/>
    </row>
    <row r="48" spans="1:7" s="91" customFormat="1" ht="12.75">
      <c r="A48" s="106" t="s">
        <v>117</v>
      </c>
      <c r="B48" s="94" t="s">
        <v>109</v>
      </c>
      <c r="C48" s="118">
        <v>0</v>
      </c>
    </row>
    <row r="49" spans="1:7" s="91" customFormat="1" ht="12.75">
      <c r="A49" s="107" t="s">
        <v>27</v>
      </c>
      <c r="B49" s="107" t="s">
        <v>28</v>
      </c>
      <c r="C49" s="108">
        <v>46</v>
      </c>
      <c r="D49" s="109">
        <f>ROUNDUP(+C49*$G$7,1)</f>
        <v>1150</v>
      </c>
      <c r="E49" s="108">
        <f>ROUNDUP(+C49*0.9,1)</f>
        <v>41.4</v>
      </c>
      <c r="F49" s="109">
        <f>+ROUNDUP(E49*$G$7,1)</f>
        <v>1035</v>
      </c>
      <c r="G49" s="107">
        <v>10</v>
      </c>
    </row>
    <row r="50" spans="1:7" s="91" customFormat="1" ht="12.75">
      <c r="A50" s="37"/>
      <c r="B50" s="110" t="s">
        <v>39</v>
      </c>
      <c r="C50" s="108">
        <f>+$C48*C49</f>
        <v>0</v>
      </c>
      <c r="D50" s="109">
        <f t="shared" ref="D50:F50" si="0">+$C48*D49</f>
        <v>0</v>
      </c>
      <c r="E50" s="108">
        <f t="shared" si="0"/>
        <v>0</v>
      </c>
      <c r="F50" s="109">
        <f t="shared" si="0"/>
        <v>0</v>
      </c>
      <c r="G50" s="111">
        <f>C48*G49</f>
        <v>0</v>
      </c>
    </row>
    <row r="51" spans="1:7" s="10" customFormat="1" ht="7.5" customHeight="1">
      <c r="A51" s="37"/>
      <c r="B51" s="37"/>
      <c r="C51" s="38"/>
      <c r="D51" s="39"/>
      <c r="E51" s="38"/>
      <c r="F51" s="39"/>
      <c r="G51" s="92"/>
    </row>
    <row r="52" spans="1:7" s="91" customFormat="1" ht="12.75">
      <c r="A52" s="106" t="s">
        <v>116</v>
      </c>
      <c r="B52" s="94" t="s">
        <v>109</v>
      </c>
      <c r="C52" s="118">
        <v>0</v>
      </c>
    </row>
    <row r="53" spans="1:7" s="91" customFormat="1" ht="12.75">
      <c r="A53" s="107" t="s">
        <v>15</v>
      </c>
      <c r="B53" s="107" t="s">
        <v>16</v>
      </c>
      <c r="C53" s="108">
        <v>63</v>
      </c>
      <c r="D53" s="109">
        <f>ROUNDUP(+C53*$G$7,1)</f>
        <v>1575</v>
      </c>
      <c r="E53" s="108">
        <f>ROUNDUP(+C53*0.9,1)</f>
        <v>56.7</v>
      </c>
      <c r="F53" s="109">
        <f>+ROUNDUP(E53*$G$7,1)</f>
        <v>1417.5</v>
      </c>
      <c r="G53" s="107">
        <v>10</v>
      </c>
    </row>
    <row r="54" spans="1:7" s="91" customFormat="1" ht="12.75">
      <c r="A54" s="37"/>
      <c r="B54" s="110" t="s">
        <v>39</v>
      </c>
      <c r="C54" s="108">
        <f>+$C52*C53</f>
        <v>0</v>
      </c>
      <c r="D54" s="109">
        <f t="shared" ref="D54" si="1">+$C52*D53</f>
        <v>0</v>
      </c>
      <c r="E54" s="108">
        <f t="shared" ref="E54" si="2">+$C52*E53</f>
        <v>0</v>
      </c>
      <c r="F54" s="109">
        <f t="shared" ref="F54" si="3">+$C52*F53</f>
        <v>0</v>
      </c>
      <c r="G54" s="111">
        <f>C52*G53</f>
        <v>0</v>
      </c>
    </row>
    <row r="55" spans="1:7" s="10" customFormat="1" ht="7.5" customHeight="1">
      <c r="A55" s="37"/>
      <c r="B55" s="37"/>
      <c r="C55" s="38"/>
      <c r="D55" s="39"/>
      <c r="E55" s="38"/>
      <c r="F55" s="39"/>
      <c r="G55" s="92"/>
    </row>
    <row r="56" spans="1:7" s="91" customFormat="1" ht="12.75">
      <c r="A56" s="106" t="s">
        <v>60</v>
      </c>
      <c r="B56" s="94" t="s">
        <v>109</v>
      </c>
      <c r="C56" s="118">
        <v>0</v>
      </c>
    </row>
    <row r="57" spans="1:7" s="91" customFormat="1" ht="12.75">
      <c r="A57" s="107" t="s">
        <v>58</v>
      </c>
      <c r="B57" s="107" t="s">
        <v>59</v>
      </c>
      <c r="C57" s="108">
        <v>396</v>
      </c>
      <c r="D57" s="109">
        <f>ROUNDUP(+C57*$G$7,1)</f>
        <v>9900</v>
      </c>
      <c r="E57" s="108">
        <f>ROUNDUP(+C57*0.9,1)</f>
        <v>356.4</v>
      </c>
      <c r="F57" s="109">
        <f>+ROUNDUP(E57*$G$7,1)</f>
        <v>8910</v>
      </c>
      <c r="G57" s="107">
        <v>50</v>
      </c>
    </row>
    <row r="58" spans="1:7" s="91" customFormat="1" ht="12.75">
      <c r="A58" s="37"/>
      <c r="B58" s="110" t="s">
        <v>39</v>
      </c>
      <c r="C58" s="108">
        <f>+$C56*C57</f>
        <v>0</v>
      </c>
      <c r="D58" s="109">
        <f t="shared" ref="D58" si="4">+$C56*D57</f>
        <v>0</v>
      </c>
      <c r="E58" s="108">
        <f t="shared" ref="E58" si="5">+$C56*E57</f>
        <v>0</v>
      </c>
      <c r="F58" s="109">
        <f t="shared" ref="F58" si="6">+$C56*F57</f>
        <v>0</v>
      </c>
      <c r="G58" s="111">
        <f>C56*G57</f>
        <v>0</v>
      </c>
    </row>
    <row r="59" spans="1:7" s="10" customFormat="1" ht="7.5" customHeight="1">
      <c r="A59" s="37"/>
      <c r="B59" s="37"/>
      <c r="C59" s="38"/>
      <c r="D59" s="39"/>
      <c r="E59" s="38"/>
      <c r="F59" s="39"/>
      <c r="G59" s="92"/>
    </row>
    <row r="60" spans="1:7" s="91" customFormat="1" ht="12.75">
      <c r="A60" s="106" t="s">
        <v>115</v>
      </c>
      <c r="B60" s="94" t="s">
        <v>109</v>
      </c>
      <c r="C60" s="118">
        <v>0</v>
      </c>
    </row>
    <row r="61" spans="1:7" s="91" customFormat="1" ht="12.75">
      <c r="A61" s="107" t="s">
        <v>81</v>
      </c>
      <c r="B61" s="107" t="s">
        <v>82</v>
      </c>
      <c r="C61" s="108">
        <v>61</v>
      </c>
      <c r="D61" s="109">
        <f>ROUNDUP(+C61*$G$7,1)</f>
        <v>1525</v>
      </c>
      <c r="E61" s="108">
        <f>ROUNDUP(+C61*0.9,1)</f>
        <v>54.9</v>
      </c>
      <c r="F61" s="109">
        <f>+ROUNDUP(E61*$G$7,1)</f>
        <v>1372.5</v>
      </c>
      <c r="G61" s="107">
        <v>5</v>
      </c>
    </row>
    <row r="62" spans="1:7" s="91" customFormat="1" ht="12.75">
      <c r="A62" s="37"/>
      <c r="B62" s="110" t="s">
        <v>39</v>
      </c>
      <c r="C62" s="108">
        <f>+$C60*C61</f>
        <v>0</v>
      </c>
      <c r="D62" s="109">
        <f t="shared" ref="D62" si="7">+$C60*D61</f>
        <v>0</v>
      </c>
      <c r="E62" s="108">
        <f t="shared" ref="E62" si="8">+$C60*E61</f>
        <v>0</v>
      </c>
      <c r="F62" s="109">
        <f t="shared" ref="F62" si="9">+$C60*F61</f>
        <v>0</v>
      </c>
      <c r="G62" s="111">
        <f>C60*G61</f>
        <v>0</v>
      </c>
    </row>
    <row r="63" spans="1:7" s="10" customFormat="1" ht="7.5" customHeight="1">
      <c r="A63" s="37"/>
      <c r="B63" s="37"/>
      <c r="C63" s="38"/>
      <c r="D63" s="39"/>
      <c r="E63" s="38"/>
      <c r="F63" s="39"/>
      <c r="G63" s="92"/>
    </row>
    <row r="64" spans="1:7" s="91" customFormat="1" ht="12.75">
      <c r="A64" s="106" t="s">
        <v>114</v>
      </c>
      <c r="B64" s="94" t="s">
        <v>109</v>
      </c>
      <c r="C64" s="118">
        <v>0</v>
      </c>
    </row>
    <row r="65" spans="1:7" s="91" customFormat="1" ht="12.75">
      <c r="A65" s="107" t="s">
        <v>56</v>
      </c>
      <c r="B65" s="107" t="s">
        <v>57</v>
      </c>
      <c r="C65" s="108">
        <v>116</v>
      </c>
      <c r="D65" s="109">
        <f>ROUNDUP(+C65*$G$7,1)</f>
        <v>2900</v>
      </c>
      <c r="E65" s="108">
        <f>ROUNDUP(+C65*0.9,1)</f>
        <v>104.4</v>
      </c>
      <c r="F65" s="109">
        <f>+ROUNDUP(E65*$G$7,1)</f>
        <v>2610</v>
      </c>
      <c r="G65" s="107">
        <v>25</v>
      </c>
    </row>
    <row r="66" spans="1:7" s="91" customFormat="1" ht="12.75">
      <c r="A66" s="37"/>
      <c r="B66" s="110" t="s">
        <v>39</v>
      </c>
      <c r="C66" s="108">
        <f>+$C64*C65</f>
        <v>0</v>
      </c>
      <c r="D66" s="109">
        <f t="shared" ref="D66" si="10">+$C64*D65</f>
        <v>0</v>
      </c>
      <c r="E66" s="108">
        <f t="shared" ref="E66" si="11">+$C64*E65</f>
        <v>0</v>
      </c>
      <c r="F66" s="109">
        <f t="shared" ref="F66" si="12">+$C64*F65</f>
        <v>0</v>
      </c>
      <c r="G66" s="111">
        <f>C64*G65</f>
        <v>0</v>
      </c>
    </row>
    <row r="67" spans="1:7" s="10" customFormat="1" ht="7.5" customHeight="1">
      <c r="A67" s="37"/>
      <c r="B67" s="37"/>
      <c r="C67" s="38"/>
      <c r="D67" s="39"/>
      <c r="E67" s="38"/>
      <c r="F67" s="39"/>
      <c r="G67" s="92"/>
    </row>
    <row r="68" spans="1:7" s="91" customFormat="1" ht="12.75">
      <c r="A68" s="106" t="s">
        <v>113</v>
      </c>
      <c r="B68" s="94" t="s">
        <v>109</v>
      </c>
      <c r="C68" s="118">
        <v>0</v>
      </c>
    </row>
    <row r="69" spans="1:7" s="91" customFormat="1" ht="12.75">
      <c r="A69" s="107" t="s">
        <v>13</v>
      </c>
      <c r="B69" s="107" t="s">
        <v>14</v>
      </c>
      <c r="C69" s="108">
        <v>80</v>
      </c>
      <c r="D69" s="109">
        <f>ROUNDUP(+C69*$G$7,1)</f>
        <v>2000</v>
      </c>
      <c r="E69" s="108">
        <f>ROUNDUP(+C69*0.9,1)</f>
        <v>72</v>
      </c>
      <c r="F69" s="109">
        <f>+ROUNDUP(E69*$G$7,1)</f>
        <v>1800</v>
      </c>
      <c r="G69" s="107">
        <v>15</v>
      </c>
    </row>
    <row r="70" spans="1:7" s="91" customFormat="1" ht="12.75">
      <c r="A70" s="37"/>
      <c r="B70" s="110" t="s">
        <v>39</v>
      </c>
      <c r="C70" s="108">
        <f>+$C68*C69</f>
        <v>0</v>
      </c>
      <c r="D70" s="109">
        <f t="shared" ref="D70" si="13">+$C68*D69</f>
        <v>0</v>
      </c>
      <c r="E70" s="108">
        <f t="shared" ref="E70" si="14">+$C68*E69</f>
        <v>0</v>
      </c>
      <c r="F70" s="109">
        <f t="shared" ref="F70" si="15">+$C68*F69</f>
        <v>0</v>
      </c>
      <c r="G70" s="111">
        <f>C68*G69</f>
        <v>0</v>
      </c>
    </row>
    <row r="71" spans="1:7" s="10" customFormat="1" ht="7.5" customHeight="1">
      <c r="A71" s="37"/>
      <c r="B71" s="37"/>
      <c r="C71" s="38"/>
      <c r="D71" s="39"/>
      <c r="E71" s="38"/>
      <c r="F71" s="39"/>
      <c r="G71" s="92"/>
    </row>
    <row r="72" spans="1:7" s="91" customFormat="1" ht="12.75">
      <c r="A72" s="106" t="s">
        <v>110</v>
      </c>
      <c r="B72" s="94" t="s">
        <v>109</v>
      </c>
      <c r="C72" s="118">
        <v>0</v>
      </c>
    </row>
    <row r="73" spans="1:7" s="91" customFormat="1" ht="12.75">
      <c r="A73" s="107" t="s">
        <v>11</v>
      </c>
      <c r="B73" s="107" t="s">
        <v>12</v>
      </c>
      <c r="C73" s="108">
        <v>514</v>
      </c>
      <c r="D73" s="109">
        <f>ROUNDUP(+C73*$G$7,1)</f>
        <v>12850</v>
      </c>
      <c r="E73" s="108">
        <f>ROUNDUP(+C73*0.9,1)</f>
        <v>462.6</v>
      </c>
      <c r="F73" s="109">
        <f>+ROUNDUP(E73*$G$7,1)</f>
        <v>11565</v>
      </c>
      <c r="G73" s="107">
        <v>50</v>
      </c>
    </row>
    <row r="74" spans="1:7" s="91" customFormat="1" ht="12.75">
      <c r="A74" s="37"/>
      <c r="B74" s="110" t="s">
        <v>39</v>
      </c>
      <c r="C74" s="108">
        <f>+$C72*C73</f>
        <v>0</v>
      </c>
      <c r="D74" s="109">
        <f t="shared" ref="D74" si="16">+$C72*D73</f>
        <v>0</v>
      </c>
      <c r="E74" s="108">
        <f t="shared" ref="E74" si="17">+$C72*E73</f>
        <v>0</v>
      </c>
      <c r="F74" s="109">
        <f t="shared" ref="F74" si="18">+$C72*F73</f>
        <v>0</v>
      </c>
      <c r="G74" s="111">
        <f>C72*G73</f>
        <v>0</v>
      </c>
    </row>
    <row r="75" spans="1:7" s="10" customFormat="1" ht="7.5" customHeight="1">
      <c r="A75" s="37"/>
      <c r="B75" s="37"/>
      <c r="C75" s="38"/>
      <c r="D75" s="39"/>
      <c r="E75" s="38"/>
      <c r="F75" s="39"/>
      <c r="G75" s="92"/>
    </row>
    <row r="76" spans="1:7" s="91" customFormat="1" ht="12.75">
      <c r="A76" s="106" t="s">
        <v>111</v>
      </c>
      <c r="B76" s="94" t="s">
        <v>109</v>
      </c>
      <c r="C76" s="118">
        <v>0</v>
      </c>
    </row>
    <row r="77" spans="1:7" s="91" customFormat="1" ht="12.75">
      <c r="A77" s="107" t="s">
        <v>69</v>
      </c>
      <c r="B77" s="107" t="s">
        <v>70</v>
      </c>
      <c r="C77" s="108">
        <v>1542</v>
      </c>
      <c r="D77" s="109">
        <f>ROUNDUP(+C77*$G$7,1)</f>
        <v>38550</v>
      </c>
      <c r="E77" s="108">
        <f>ROUNDUP(+C77*0.9,1)</f>
        <v>1387.8</v>
      </c>
      <c r="F77" s="109">
        <f>+ROUNDUP(E77*$G$7,1)</f>
        <v>34695</v>
      </c>
      <c r="G77" s="107">
        <v>125</v>
      </c>
    </row>
    <row r="78" spans="1:7" s="91" customFormat="1" ht="12.75">
      <c r="A78" s="37"/>
      <c r="B78" s="110" t="s">
        <v>39</v>
      </c>
      <c r="C78" s="108">
        <f>+$C76*C77</f>
        <v>0</v>
      </c>
      <c r="D78" s="109">
        <f t="shared" ref="D78" si="19">+$C76*D77</f>
        <v>0</v>
      </c>
      <c r="E78" s="108">
        <f t="shared" ref="E78" si="20">+$C76*E77</f>
        <v>0</v>
      </c>
      <c r="F78" s="109">
        <f t="shared" ref="F78" si="21">+$C76*F77</f>
        <v>0</v>
      </c>
      <c r="G78" s="111">
        <f>C76*G77</f>
        <v>0</v>
      </c>
    </row>
    <row r="79" spans="1:7" s="10" customFormat="1" ht="7.5" customHeight="1">
      <c r="A79" s="37"/>
      <c r="B79" s="37"/>
      <c r="C79" s="38"/>
      <c r="D79" s="39"/>
      <c r="E79" s="38"/>
      <c r="F79" s="39"/>
      <c r="G79" s="92"/>
    </row>
    <row r="80" spans="1:7" s="91" customFormat="1" ht="12.75">
      <c r="A80" s="106" t="s">
        <v>112</v>
      </c>
      <c r="B80" s="94" t="s">
        <v>109</v>
      </c>
      <c r="C80" s="118">
        <v>0</v>
      </c>
    </row>
    <row r="81" spans="1:7" s="91" customFormat="1" ht="12.75">
      <c r="A81" s="107" t="s">
        <v>52</v>
      </c>
      <c r="B81" s="107" t="s">
        <v>53</v>
      </c>
      <c r="C81" s="108">
        <v>210</v>
      </c>
      <c r="D81" s="109">
        <f>ROUNDUP(+C81*$G$7,1)</f>
        <v>5250</v>
      </c>
      <c r="E81" s="108">
        <f>ROUNDUP(+C81*0.9,1)</f>
        <v>189</v>
      </c>
      <c r="F81" s="109">
        <f>+ROUNDUP(E81*$G$7,1)</f>
        <v>4725</v>
      </c>
      <c r="G81" s="107">
        <v>5</v>
      </c>
    </row>
    <row r="82" spans="1:7" s="91" customFormat="1" ht="12.75">
      <c r="A82" s="37"/>
      <c r="B82" s="110" t="s">
        <v>39</v>
      </c>
      <c r="C82" s="108">
        <f>+$C80*C81</f>
        <v>0</v>
      </c>
      <c r="D82" s="109">
        <f t="shared" ref="D82" si="22">+$C80*D81</f>
        <v>0</v>
      </c>
      <c r="E82" s="108">
        <f t="shared" ref="E82" si="23">+$C80*E81</f>
        <v>0</v>
      </c>
      <c r="F82" s="109">
        <f t="shared" ref="F82" si="24">+$C80*F81</f>
        <v>0</v>
      </c>
      <c r="G82" s="111">
        <f>C80*G81</f>
        <v>0</v>
      </c>
    </row>
    <row r="83" spans="1:7" s="10" customFormat="1" ht="7.5" customHeight="1">
      <c r="A83" s="37"/>
      <c r="B83" s="37"/>
      <c r="C83" s="38"/>
      <c r="D83" s="39"/>
      <c r="E83" s="38"/>
      <c r="F83" s="39"/>
      <c r="G83" s="92"/>
    </row>
    <row r="84" spans="1:7" s="91" customFormat="1" ht="12.75">
      <c r="A84" s="106" t="s">
        <v>139</v>
      </c>
      <c r="B84" s="94" t="s">
        <v>109</v>
      </c>
      <c r="C84" s="118">
        <v>0</v>
      </c>
    </row>
    <row r="85" spans="1:7" s="91" customFormat="1" ht="12.75">
      <c r="A85" s="107" t="s">
        <v>135</v>
      </c>
      <c r="B85" s="107" t="s">
        <v>136</v>
      </c>
      <c r="C85" s="108">
        <v>74</v>
      </c>
      <c r="D85" s="109">
        <f>ROUNDUP(+C85*$G$7,1)</f>
        <v>1850</v>
      </c>
      <c r="E85" s="108">
        <f>ROUNDUP(+C85*0.9,1)</f>
        <v>66.599999999999994</v>
      </c>
      <c r="F85" s="109">
        <f>+ROUNDUP(E85*$G$7,1)</f>
        <v>1665</v>
      </c>
      <c r="G85" s="107">
        <v>10</v>
      </c>
    </row>
    <row r="86" spans="1:7" s="91" customFormat="1" ht="12.75">
      <c r="A86" s="37"/>
      <c r="B86" s="110" t="s">
        <v>39</v>
      </c>
      <c r="C86" s="108">
        <f>+$C84*C85</f>
        <v>0</v>
      </c>
      <c r="D86" s="109">
        <f t="shared" ref="D86" si="25">+$C84*D85</f>
        <v>0</v>
      </c>
      <c r="E86" s="108">
        <f t="shared" ref="E86" si="26">+$C84*E85</f>
        <v>0</v>
      </c>
      <c r="F86" s="109">
        <f t="shared" ref="F86" si="27">+$C84*F85</f>
        <v>0</v>
      </c>
      <c r="G86" s="111">
        <f>C84*G85</f>
        <v>0</v>
      </c>
    </row>
    <row r="87" spans="1:7" s="10" customFormat="1" ht="7.5" customHeight="1">
      <c r="A87" s="37"/>
      <c r="B87" s="37"/>
      <c r="C87" s="38"/>
      <c r="D87" s="39"/>
      <c r="E87" s="38"/>
      <c r="F87" s="39"/>
      <c r="G87" s="92"/>
    </row>
    <row r="88" spans="1:7" s="91" customFormat="1" ht="12.75">
      <c r="A88" s="106" t="s">
        <v>140</v>
      </c>
      <c r="B88" s="94" t="s">
        <v>109</v>
      </c>
      <c r="C88" s="118">
        <v>0</v>
      </c>
    </row>
    <row r="89" spans="1:7" s="91" customFormat="1" ht="12.75">
      <c r="A89" s="107" t="s">
        <v>137</v>
      </c>
      <c r="B89" s="107" t="s">
        <v>138</v>
      </c>
      <c r="C89" s="108">
        <v>61</v>
      </c>
      <c r="D89" s="109">
        <f>ROUNDUP(+C89*$G$7,1)</f>
        <v>1525</v>
      </c>
      <c r="E89" s="108">
        <f>ROUNDUP(+C89*0.9,1)</f>
        <v>54.9</v>
      </c>
      <c r="F89" s="109">
        <f>+ROUNDUP(E89*$G$7,1)</f>
        <v>1372.5</v>
      </c>
      <c r="G89" s="107">
        <v>10</v>
      </c>
    </row>
    <row r="90" spans="1:7" s="91" customFormat="1" ht="12.75">
      <c r="A90" s="37"/>
      <c r="B90" s="110" t="s">
        <v>39</v>
      </c>
      <c r="C90" s="108">
        <f>+$C88*C89</f>
        <v>0</v>
      </c>
      <c r="D90" s="109">
        <f t="shared" ref="D90" si="28">+$C88*D89</f>
        <v>0</v>
      </c>
      <c r="E90" s="108">
        <f t="shared" ref="E90" si="29">+$C88*E89</f>
        <v>0</v>
      </c>
      <c r="F90" s="109">
        <f t="shared" ref="F90" si="30">+$C88*F89</f>
        <v>0</v>
      </c>
      <c r="G90" s="111">
        <f>C88*G89</f>
        <v>0</v>
      </c>
    </row>
    <row r="91" spans="1:7" s="10" customFormat="1" ht="7.5" customHeight="1">
      <c r="A91" s="37"/>
      <c r="B91" s="37"/>
      <c r="C91" s="38"/>
      <c r="D91" s="39"/>
      <c r="E91" s="38"/>
      <c r="F91" s="39"/>
      <c r="G91" s="92"/>
    </row>
    <row r="92" spans="1:7" s="91" customFormat="1" ht="12.75">
      <c r="A92" s="106" t="s">
        <v>143</v>
      </c>
      <c r="B92" s="94" t="s">
        <v>109</v>
      </c>
      <c r="C92" s="118">
        <v>0</v>
      </c>
    </row>
    <row r="93" spans="1:7" s="91" customFormat="1" ht="12.75">
      <c r="A93" s="107" t="s">
        <v>131</v>
      </c>
      <c r="B93" s="107" t="s">
        <v>132</v>
      </c>
      <c r="C93" s="108">
        <f>12*2</f>
        <v>24</v>
      </c>
      <c r="D93" s="109">
        <f>ROUNDUP(+C93*$G$7,1)</f>
        <v>600</v>
      </c>
      <c r="E93" s="108">
        <f>ROUNDUP(+C93*0.9,1)</f>
        <v>21.6</v>
      </c>
      <c r="F93" s="109">
        <f>+ROUNDUP(E93*$G$7,1)</f>
        <v>540</v>
      </c>
      <c r="G93" s="107">
        <v>10</v>
      </c>
    </row>
    <row r="94" spans="1:7" s="91" customFormat="1" ht="12.75">
      <c r="A94" s="37"/>
      <c r="B94" s="110" t="s">
        <v>39</v>
      </c>
      <c r="C94" s="108">
        <f>+$C92*C93</f>
        <v>0</v>
      </c>
      <c r="D94" s="109">
        <f t="shared" ref="D94" si="31">+$C92*D93</f>
        <v>0</v>
      </c>
      <c r="E94" s="108">
        <f t="shared" ref="E94" si="32">+$C92*E93</f>
        <v>0</v>
      </c>
      <c r="F94" s="109">
        <f t="shared" ref="F94" si="33">+$C92*F93</f>
        <v>0</v>
      </c>
      <c r="G94" s="111">
        <f>C92*G93</f>
        <v>0</v>
      </c>
    </row>
    <row r="95" spans="1:7" s="10" customFormat="1" ht="7.5" customHeight="1">
      <c r="A95" s="37"/>
      <c r="B95" s="37"/>
      <c r="C95" s="38"/>
      <c r="D95" s="39"/>
      <c r="E95" s="38"/>
      <c r="F95" s="39"/>
      <c r="G95" s="92"/>
    </row>
    <row r="96" spans="1:7" s="91" customFormat="1" ht="12.75">
      <c r="A96" s="106" t="s">
        <v>142</v>
      </c>
      <c r="B96" s="94" t="s">
        <v>109</v>
      </c>
      <c r="C96" s="118">
        <v>0</v>
      </c>
    </row>
    <row r="97" spans="1:7" s="91" customFormat="1" ht="12.75">
      <c r="A97" s="107" t="s">
        <v>133</v>
      </c>
      <c r="B97" s="107" t="s">
        <v>134</v>
      </c>
      <c r="C97" s="108">
        <f>12*1.9</f>
        <v>22.799999999999997</v>
      </c>
      <c r="D97" s="109">
        <f>ROUNDUP(+C97*$G$7,1)</f>
        <v>570</v>
      </c>
      <c r="E97" s="108">
        <f>ROUNDUP(+C97*0.9,1)</f>
        <v>20.6</v>
      </c>
      <c r="F97" s="109">
        <f>+ROUNDUP(E97*$G$7,1)</f>
        <v>515</v>
      </c>
      <c r="G97" s="107">
        <v>10</v>
      </c>
    </row>
    <row r="98" spans="1:7" s="91" customFormat="1" ht="12.75">
      <c r="A98" s="37"/>
      <c r="B98" s="110" t="s">
        <v>39</v>
      </c>
      <c r="C98" s="108">
        <f>+$C96*C97</f>
        <v>0</v>
      </c>
      <c r="D98" s="109">
        <f t="shared" ref="D98" si="34">+$C96*D97</f>
        <v>0</v>
      </c>
      <c r="E98" s="108">
        <f t="shared" ref="E98" si="35">+$C96*E97</f>
        <v>0</v>
      </c>
      <c r="F98" s="109">
        <f t="shared" ref="F98" si="36">+$C96*F97</f>
        <v>0</v>
      </c>
      <c r="G98" s="111">
        <f>C96*G97</f>
        <v>0</v>
      </c>
    </row>
    <row r="100" spans="1:7">
      <c r="A100" s="88" t="s">
        <v>34</v>
      </c>
    </row>
  </sheetData>
  <sheetProtection sheet="1" objects="1" scenarios="1" formatCells="0" formatColumns="0" formatRows="0" insertColumns="0" insertRows="0" insertHyperlinks="0" deleteColumns="0" deleteRows="0" sort="0" autoFilter="0" pivotTables="0"/>
  <mergeCells count="5">
    <mergeCell ref="A4:G4"/>
    <mergeCell ref="A6:G6"/>
    <mergeCell ref="A16:G16"/>
    <mergeCell ref="C17:D17"/>
    <mergeCell ref="E17:F17"/>
  </mergeCells>
  <conditionalFormatting sqref="G5">
    <cfRule type="cellIs" dxfId="0" priority="1" operator="lessThan">
      <formula>300</formula>
    </cfRule>
  </conditionalFormatting>
  <dataValidations disablePrompts="1" count="2">
    <dataValidation type="whole" operator="greaterThanOrEqual" allowBlank="1" showInputMessage="1" showErrorMessage="1" sqref="C96 C92 C88 C52 C56 C60 C64 C68 C72 C76 C80 C84 C48">
      <formula1>0</formula1>
    </dataValidation>
    <dataValidation type="list" allowBlank="1" showInputMessage="1" showErrorMessage="1" sqref="C41 C25 C29 C37 C33">
      <formula1>$N$1:$N$2</formula1>
    </dataValidation>
  </dataValidations>
  <pageMargins left="0.31496062992125984" right="0.31496062992125984" top="0.35433070866141736" bottom="0.35433070866141736" header="0.11811023622047245" footer="0.11811023622047245"/>
  <pageSetup paperSize="9" scale="77" fitToHeight="2"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E48"/>
  <sheetViews>
    <sheetView showGridLines="0" zoomScaleNormal="100" workbookViewId="0">
      <selection activeCell="E20" sqref="E20"/>
    </sheetView>
  </sheetViews>
  <sheetFormatPr defaultColWidth="13.140625" defaultRowHeight="12.75"/>
  <cols>
    <col min="1" max="1" width="13.140625" style="11"/>
    <col min="2" max="2" width="58.85546875" style="11" bestFit="1" customWidth="1"/>
    <col min="3" max="3" width="17.7109375" style="60" customWidth="1"/>
    <col min="4" max="4" width="17.7109375" style="61" customWidth="1"/>
    <col min="5" max="5" width="11.42578125" style="62" bestFit="1" customWidth="1"/>
    <col min="6" max="16384" width="13.140625" style="11"/>
  </cols>
  <sheetData>
    <row r="1" spans="1:5" s="77" customFormat="1" ht="28.9" customHeight="1">
      <c r="A1" s="73" t="s">
        <v>32</v>
      </c>
      <c r="B1" s="73" t="s">
        <v>31</v>
      </c>
      <c r="C1" s="74" t="s">
        <v>98</v>
      </c>
      <c r="D1" s="75" t="s">
        <v>100</v>
      </c>
      <c r="E1" s="76" t="s">
        <v>101</v>
      </c>
    </row>
    <row r="2" spans="1:5" s="10" customFormat="1">
      <c r="A2" s="6"/>
      <c r="B2" s="6"/>
      <c r="C2" s="7"/>
      <c r="D2" s="8"/>
      <c r="E2" s="9"/>
    </row>
    <row r="3" spans="1:5">
      <c r="A3" s="63" t="s">
        <v>6</v>
      </c>
      <c r="B3" s="64"/>
      <c r="C3" s="65"/>
      <c r="D3" s="66"/>
      <c r="E3" s="67"/>
    </row>
    <row r="4" spans="1:5" s="10" customFormat="1" ht="13.9" customHeight="1">
      <c r="A4" s="12" t="s">
        <v>4</v>
      </c>
      <c r="B4" s="12" t="s">
        <v>5</v>
      </c>
      <c r="C4" s="13">
        <v>60</v>
      </c>
      <c r="D4" s="14">
        <f>ROUNDUP(C4*'Desktop Campus'!$G$7,1)</f>
        <v>1500</v>
      </c>
      <c r="E4" s="15">
        <f>1-C4/C5</f>
        <v>0.13394919168591224</v>
      </c>
    </row>
    <row r="5" spans="1:5" s="10" customFormat="1" ht="13.9" customHeight="1">
      <c r="A5" s="12"/>
      <c r="B5" s="12" t="s">
        <v>141</v>
      </c>
      <c r="C5" s="13">
        <f>SUM(C8:C9,C13:C16)</f>
        <v>69.28</v>
      </c>
      <c r="D5" s="14">
        <f>ROUNDUP(C5*'Desktop Campus'!$G$7,1)</f>
        <v>1732</v>
      </c>
      <c r="E5" s="15"/>
    </row>
    <row r="7" spans="1:5">
      <c r="A7" s="16" t="s">
        <v>92</v>
      </c>
      <c r="B7" s="17"/>
      <c r="C7" s="18"/>
      <c r="D7" s="19"/>
      <c r="E7" s="20"/>
    </row>
    <row r="8" spans="1:5" s="10" customFormat="1" ht="13.9" customHeight="1">
      <c r="A8" s="21" t="s">
        <v>2</v>
      </c>
      <c r="B8" s="21" t="s">
        <v>3</v>
      </c>
      <c r="C8" s="22">
        <v>30</v>
      </c>
      <c r="D8" s="23">
        <f>ROUNDUP(C8*'Desktop Campus'!$G$7,1)</f>
        <v>750</v>
      </c>
      <c r="E8" s="24"/>
    </row>
    <row r="9" spans="1:5" s="10" customFormat="1" ht="13.9" customHeight="1">
      <c r="A9" s="21" t="s">
        <v>0</v>
      </c>
      <c r="B9" s="21" t="s">
        <v>1</v>
      </c>
      <c r="C9" s="22">
        <v>22</v>
      </c>
      <c r="D9" s="23">
        <f>ROUNDUP(C9*'Desktop Campus'!$G$7,1)</f>
        <v>550</v>
      </c>
      <c r="E9" s="24"/>
    </row>
    <row r="10" spans="1:5" s="10" customFormat="1" ht="13.9" customHeight="1">
      <c r="A10" s="21" t="s">
        <v>29</v>
      </c>
      <c r="B10" s="21" t="s">
        <v>30</v>
      </c>
      <c r="C10" s="22">
        <v>12</v>
      </c>
      <c r="D10" s="23">
        <f>ROUNDUP(C10*'Desktop Campus'!$G$7,1)</f>
        <v>300</v>
      </c>
      <c r="E10" s="24">
        <f>1-C10/C12</f>
        <v>0.30555555555555558</v>
      </c>
    </row>
    <row r="12" spans="1:5">
      <c r="A12" s="25" t="s">
        <v>93</v>
      </c>
      <c r="B12" s="25"/>
      <c r="C12" s="26">
        <f>SUM(C13:C16)</f>
        <v>17.28</v>
      </c>
      <c r="D12" s="27">
        <f>ROUNDUP(C12*'Desktop Campus'!$G$7,1)</f>
        <v>432</v>
      </c>
      <c r="E12" s="28"/>
    </row>
    <row r="13" spans="1:5" s="10" customFormat="1" ht="13.9" customHeight="1">
      <c r="A13" s="29" t="s">
        <v>48</v>
      </c>
      <c r="B13" s="29" t="s">
        <v>49</v>
      </c>
      <c r="C13" s="30">
        <v>2.99</v>
      </c>
      <c r="D13" s="31">
        <f>ROUNDUP(C13*'Desktop Campus'!$G$7,1)</f>
        <v>74.8</v>
      </c>
      <c r="E13" s="32"/>
    </row>
    <row r="14" spans="1:5" s="10" customFormat="1" ht="13.9" customHeight="1">
      <c r="A14" s="29" t="s">
        <v>7</v>
      </c>
      <c r="B14" s="29" t="s">
        <v>8</v>
      </c>
      <c r="C14" s="30">
        <v>7</v>
      </c>
      <c r="D14" s="31">
        <f>ROUNDUP(C14*'Desktop Campus'!$G$7,1)</f>
        <v>175</v>
      </c>
      <c r="E14" s="32"/>
    </row>
    <row r="15" spans="1:5" s="10" customFormat="1" ht="13.9" customHeight="1">
      <c r="A15" s="29" t="s">
        <v>9</v>
      </c>
      <c r="B15" s="29" t="s">
        <v>10</v>
      </c>
      <c r="C15" s="30">
        <v>3.06</v>
      </c>
      <c r="D15" s="31">
        <f>ROUNDUP(C15*'Desktop Campus'!$G$7,1)</f>
        <v>76.5</v>
      </c>
      <c r="E15" s="32"/>
    </row>
    <row r="16" spans="1:5" s="10" customFormat="1" ht="13.9" customHeight="1">
      <c r="A16" s="29" t="s">
        <v>83</v>
      </c>
      <c r="B16" s="29" t="s">
        <v>84</v>
      </c>
      <c r="C16" s="30">
        <v>4.2300000000000004</v>
      </c>
      <c r="D16" s="31">
        <f>ROUNDUP(C16*'Desktop Campus'!$G$7,1)</f>
        <v>105.8</v>
      </c>
      <c r="E16" s="32"/>
    </row>
    <row r="19" spans="1:5">
      <c r="A19" s="68" t="s">
        <v>94</v>
      </c>
      <c r="B19" s="69"/>
      <c r="C19" s="70"/>
      <c r="D19" s="71"/>
      <c r="E19" s="72"/>
    </row>
    <row r="20" spans="1:5" s="10" customFormat="1" ht="13.9" customHeight="1">
      <c r="A20" s="33" t="s">
        <v>20</v>
      </c>
      <c r="B20" s="33" t="s">
        <v>21</v>
      </c>
      <c r="C20" s="34">
        <v>71</v>
      </c>
      <c r="D20" s="35">
        <f>ROUNDUP(C20*'Desktop Campus'!$G$7,1)</f>
        <v>1775</v>
      </c>
      <c r="E20" s="36">
        <f>1-C20/C21</f>
        <v>0.44656637306103353</v>
      </c>
    </row>
    <row r="21" spans="1:5" s="10" customFormat="1" ht="13.9" customHeight="1">
      <c r="A21" s="33"/>
      <c r="B21" s="33" t="s">
        <v>141</v>
      </c>
      <c r="C21" s="34">
        <f>SUM(C24:C25,C28)</f>
        <v>128.29</v>
      </c>
      <c r="D21" s="35">
        <f>ROUNDUP(C21*'Desktop Campus'!$G$7,1)</f>
        <v>3207.2999999999997</v>
      </c>
      <c r="E21" s="36"/>
    </row>
    <row r="22" spans="1:5" s="10" customFormat="1" ht="13.9" customHeight="1">
      <c r="A22" s="37"/>
      <c r="B22" s="37"/>
      <c r="C22" s="38"/>
      <c r="D22" s="39"/>
      <c r="E22" s="40"/>
    </row>
    <row r="23" spans="1:5">
      <c r="A23" s="41" t="s">
        <v>99</v>
      </c>
      <c r="B23" s="42"/>
      <c r="C23" s="43"/>
      <c r="D23" s="44"/>
      <c r="E23" s="45"/>
    </row>
    <row r="24" spans="1:5" s="10" customFormat="1" ht="13.9" customHeight="1">
      <c r="A24" s="46" t="s">
        <v>2</v>
      </c>
      <c r="B24" s="46" t="s">
        <v>3</v>
      </c>
      <c r="C24" s="47">
        <v>30</v>
      </c>
      <c r="D24" s="48">
        <f>ROUNDUP(C24*'Desktop Campus'!$G$7,1)</f>
        <v>750</v>
      </c>
      <c r="E24" s="49"/>
    </row>
    <row r="25" spans="1:5" s="10" customFormat="1" ht="13.9" customHeight="1">
      <c r="A25" s="46" t="s">
        <v>0</v>
      </c>
      <c r="B25" s="46" t="s">
        <v>1</v>
      </c>
      <c r="C25" s="47">
        <v>22</v>
      </c>
      <c r="D25" s="48">
        <f>ROUNDUP(C25*'Desktop Campus'!$G$7,1)</f>
        <v>550</v>
      </c>
      <c r="E25" s="49"/>
    </row>
    <row r="26" spans="1:5" s="10" customFormat="1" ht="13.9" customHeight="1">
      <c r="A26" s="46" t="s">
        <v>50</v>
      </c>
      <c r="B26" s="46" t="s">
        <v>51</v>
      </c>
      <c r="C26" s="47">
        <v>25</v>
      </c>
      <c r="D26" s="48">
        <f>ROUNDUP(C26*'Desktop Campus'!$G$7,1)</f>
        <v>625</v>
      </c>
      <c r="E26" s="49">
        <f>1-C26/C28</f>
        <v>0.67230305413553548</v>
      </c>
    </row>
    <row r="28" spans="1:5">
      <c r="A28" s="50" t="s">
        <v>95</v>
      </c>
      <c r="B28" s="51"/>
      <c r="C28" s="52">
        <f>SUM(C30:C33,C35:C40,C44:C48)</f>
        <v>76.289999999999992</v>
      </c>
      <c r="D28" s="53">
        <f>ROUNDUP(C28*'Desktop Campus'!$G$7,1)</f>
        <v>1907.3</v>
      </c>
      <c r="E28" s="54"/>
    </row>
    <row r="29" spans="1:5">
      <c r="A29" s="55" t="s">
        <v>96</v>
      </c>
      <c r="B29" s="51"/>
      <c r="C29" s="52"/>
      <c r="D29" s="53"/>
      <c r="E29" s="54"/>
    </row>
    <row r="30" spans="1:5" s="10" customFormat="1" ht="13.9" customHeight="1">
      <c r="A30" s="56" t="s">
        <v>48</v>
      </c>
      <c r="B30" s="56" t="s">
        <v>49</v>
      </c>
      <c r="C30" s="57">
        <v>2.99</v>
      </c>
      <c r="D30" s="58">
        <f>ROUNDUP(C30*'Desktop Campus'!$G$7,1)</f>
        <v>74.8</v>
      </c>
      <c r="E30" s="59"/>
    </row>
    <row r="31" spans="1:5" s="10" customFormat="1" ht="13.9" customHeight="1">
      <c r="A31" s="56" t="s">
        <v>7</v>
      </c>
      <c r="B31" s="56" t="s">
        <v>8</v>
      </c>
      <c r="C31" s="57">
        <v>7</v>
      </c>
      <c r="D31" s="58">
        <f>ROUNDUP(C31*'Desktop Campus'!$G$7,1)</f>
        <v>175</v>
      </c>
      <c r="E31" s="59"/>
    </row>
    <row r="32" spans="1:5" s="10" customFormat="1" ht="13.9" customHeight="1">
      <c r="A32" s="56" t="s">
        <v>9</v>
      </c>
      <c r="B32" s="56" t="s">
        <v>10</v>
      </c>
      <c r="C32" s="57">
        <v>3.06</v>
      </c>
      <c r="D32" s="58">
        <f>ROUNDUP(C32*'Desktop Campus'!$G$7,1)</f>
        <v>76.5</v>
      </c>
      <c r="E32" s="59"/>
    </row>
    <row r="33" spans="1:5" s="10" customFormat="1" ht="13.9" customHeight="1">
      <c r="A33" s="56" t="s">
        <v>83</v>
      </c>
      <c r="B33" s="56" t="s">
        <v>84</v>
      </c>
      <c r="C33" s="57">
        <v>4.2300000000000004</v>
      </c>
      <c r="D33" s="58">
        <f>ROUNDUP(C33*'Desktop Campus'!$G$7,1)</f>
        <v>105.8</v>
      </c>
      <c r="E33" s="59"/>
    </row>
    <row r="34" spans="1:5">
      <c r="A34" s="55" t="s">
        <v>97</v>
      </c>
      <c r="B34" s="51"/>
      <c r="C34" s="52"/>
      <c r="D34" s="53"/>
      <c r="E34" s="54"/>
    </row>
    <row r="35" spans="1:5" s="10" customFormat="1" ht="13.9" customHeight="1">
      <c r="A35" s="56" t="s">
        <v>73</v>
      </c>
      <c r="B35" s="56" t="s">
        <v>74</v>
      </c>
      <c r="C35" s="57">
        <v>6</v>
      </c>
      <c r="D35" s="58">
        <f>ROUNDUP(C35*'Desktop Campus'!$G$7,1)</f>
        <v>150</v>
      </c>
      <c r="E35" s="59"/>
    </row>
    <row r="36" spans="1:5" s="10" customFormat="1" ht="13.9" customHeight="1">
      <c r="A36" s="56" t="s">
        <v>71</v>
      </c>
      <c r="B36" s="56" t="s">
        <v>72</v>
      </c>
      <c r="C36" s="57">
        <v>8</v>
      </c>
      <c r="D36" s="58">
        <f>ROUNDUP(C36*'Desktop Campus'!$G$7,1)</f>
        <v>200</v>
      </c>
      <c r="E36" s="59"/>
    </row>
    <row r="37" spans="1:5" s="10" customFormat="1" ht="13.9" customHeight="1">
      <c r="A37" s="56" t="s">
        <v>63</v>
      </c>
      <c r="B37" s="56" t="s">
        <v>64</v>
      </c>
      <c r="C37" s="57">
        <v>3.21</v>
      </c>
      <c r="D37" s="58">
        <f>ROUNDUP(C37*'Desktop Campus'!$G$7,1)</f>
        <v>80.3</v>
      </c>
      <c r="E37" s="59"/>
    </row>
    <row r="38" spans="1:5" s="10" customFormat="1" ht="13.9" customHeight="1">
      <c r="A38" s="56" t="s">
        <v>61</v>
      </c>
      <c r="B38" s="56" t="s">
        <v>62</v>
      </c>
      <c r="C38" s="57">
        <v>15</v>
      </c>
      <c r="D38" s="58">
        <f>ROUNDUP(C38*'Desktop Campus'!$G$7,1)</f>
        <v>375</v>
      </c>
      <c r="E38" s="59"/>
    </row>
    <row r="39" spans="1:5" s="10" customFormat="1" ht="13.9" customHeight="1">
      <c r="A39" s="56" t="s">
        <v>87</v>
      </c>
      <c r="B39" s="56" t="s">
        <v>88</v>
      </c>
      <c r="C39" s="57">
        <v>3.79</v>
      </c>
      <c r="D39" s="58">
        <f>ROUNDUP(C39*'Desktop Campus'!$G$7,1)</f>
        <v>94.8</v>
      </c>
      <c r="E39" s="59"/>
    </row>
    <row r="40" spans="1:5" s="10" customFormat="1" ht="13.9" customHeight="1">
      <c r="A40" s="56" t="s">
        <v>22</v>
      </c>
      <c r="B40" s="56" t="s">
        <v>23</v>
      </c>
      <c r="C40" s="57">
        <v>3.21</v>
      </c>
      <c r="D40" s="58">
        <f>ROUNDUP(C40*'Desktop Campus'!$G$7,1)</f>
        <v>80.3</v>
      </c>
      <c r="E40" s="59"/>
    </row>
    <row r="41" spans="1:5" s="10" customFormat="1" ht="13.9" customHeight="1">
      <c r="A41" s="56" t="s">
        <v>75</v>
      </c>
      <c r="B41" s="56" t="s">
        <v>76</v>
      </c>
      <c r="C41" s="57">
        <f>1.07*12</f>
        <v>12.84</v>
      </c>
      <c r="D41" s="58">
        <f>ROUNDUP(C41*'Desktop Campus'!$G$7,1)</f>
        <v>321</v>
      </c>
      <c r="E41" s="59">
        <f>1-C41/C43</f>
        <v>0.35151515151515145</v>
      </c>
    </row>
    <row r="43" spans="1:5">
      <c r="A43" s="55" t="s">
        <v>91</v>
      </c>
      <c r="B43" s="51"/>
      <c r="C43" s="52">
        <f>SUM(C44:C48)</f>
        <v>19.799999999999997</v>
      </c>
      <c r="D43" s="53">
        <f>ROUNDUP(C43*'Desktop Campus'!$G$7,1)</f>
        <v>495</v>
      </c>
      <c r="E43" s="54"/>
    </row>
    <row r="44" spans="1:5" s="10" customFormat="1" ht="13.9" customHeight="1">
      <c r="A44" s="56" t="s">
        <v>67</v>
      </c>
      <c r="B44" s="56" t="s">
        <v>68</v>
      </c>
      <c r="C44" s="57">
        <f>12*0.15</f>
        <v>1.7999999999999998</v>
      </c>
      <c r="D44" s="58">
        <f>ROUNDUP(C44*'Desktop Campus'!$G$7,1)</f>
        <v>45</v>
      </c>
      <c r="E44" s="59"/>
    </row>
    <row r="45" spans="1:5" s="10" customFormat="1" ht="13.9" customHeight="1">
      <c r="A45" s="56" t="s">
        <v>85</v>
      </c>
      <c r="B45" s="56" t="s">
        <v>86</v>
      </c>
      <c r="C45" s="57">
        <f>12*0.24</f>
        <v>2.88</v>
      </c>
      <c r="D45" s="58">
        <f>ROUNDUP(C45*'Desktop Campus'!$G$7,1)</f>
        <v>72</v>
      </c>
      <c r="E45" s="59"/>
    </row>
    <row r="46" spans="1:5" s="10" customFormat="1" ht="13.9" customHeight="1">
      <c r="A46" s="56" t="s">
        <v>79</v>
      </c>
      <c r="B46" s="56" t="s">
        <v>80</v>
      </c>
      <c r="C46" s="57">
        <f>12*0.3</f>
        <v>3.5999999999999996</v>
      </c>
      <c r="D46" s="58">
        <f>ROUNDUP(C46*'Desktop Campus'!$G$7,1)</f>
        <v>90</v>
      </c>
      <c r="E46" s="59"/>
    </row>
    <row r="47" spans="1:5" s="10" customFormat="1" ht="13.9" customHeight="1">
      <c r="A47" s="56" t="s">
        <v>77</v>
      </c>
      <c r="B47" s="56" t="s">
        <v>78</v>
      </c>
      <c r="C47" s="57">
        <f>12*0.15</f>
        <v>1.7999999999999998</v>
      </c>
      <c r="D47" s="58">
        <f>ROUNDUP(C47*'Desktop Campus'!$G$7,1)</f>
        <v>45</v>
      </c>
      <c r="E47" s="59"/>
    </row>
    <row r="48" spans="1:5" s="10" customFormat="1" ht="13.9" customHeight="1">
      <c r="A48" s="56" t="s">
        <v>54</v>
      </c>
      <c r="B48" s="56" t="s">
        <v>55</v>
      </c>
      <c r="C48" s="57">
        <f>12*0.81</f>
        <v>9.7200000000000006</v>
      </c>
      <c r="D48" s="58">
        <f>ROUNDUP(C48*'Desktop Campus'!$G$7,1)</f>
        <v>243</v>
      </c>
      <c r="E48" s="59"/>
    </row>
  </sheetData>
  <sheetProtection sheet="1" objects="1" scenarios="1" formatCells="0" formatColumns="0" formatRows="0" insertColumns="0" insertRows="0" insertHyperlinks="0" deleteColumns="0" deleteRows="0" sort="0" autoFilter="0" pivotTables="0"/>
  <pageMargins left="0.51181102362204722" right="0.51181102362204722" top="0.35433070866141736" bottom="0.35433070866141736" header="0.31496062992125984" footer="0.31496062992125984"/>
  <pageSetup paperSize="9" scale="77" orientation="portrait" r:id="rId1"/>
</worksheet>
</file>

<file path=xl/worksheets/sheet4.xml><?xml version="1.0" encoding="utf-8"?>
<worksheet xmlns="http://schemas.openxmlformats.org/spreadsheetml/2006/main" xmlns:r="http://schemas.openxmlformats.org/officeDocument/2006/relationships">
  <dimension ref="A1:B12"/>
  <sheetViews>
    <sheetView workbookViewId="0">
      <selection activeCell="A14" sqref="A14"/>
    </sheetView>
  </sheetViews>
  <sheetFormatPr defaultRowHeight="15"/>
  <sheetData>
    <row r="1" spans="1:2" ht="20.25" thickBot="1">
      <c r="A1" s="3" t="s">
        <v>118</v>
      </c>
      <c r="B1" s="3"/>
    </row>
    <row r="2" spans="1:2" ht="15.75" thickTop="1"/>
    <row r="3" spans="1:2" ht="18" thickBot="1">
      <c r="A3" s="2" t="s">
        <v>119</v>
      </c>
    </row>
    <row r="4" spans="1:2" ht="15.75" thickTop="1">
      <c r="B4" t="s">
        <v>120</v>
      </c>
    </row>
    <row r="5" spans="1:2">
      <c r="B5" t="s">
        <v>121</v>
      </c>
    </row>
    <row r="6" spans="1:2">
      <c r="B6" t="s">
        <v>122</v>
      </c>
    </row>
    <row r="7" spans="1:2">
      <c r="B7" t="s">
        <v>123</v>
      </c>
    </row>
    <row r="9" spans="1:2">
      <c r="A9" t="s">
        <v>126</v>
      </c>
    </row>
    <row r="10" spans="1:2">
      <c r="A10" t="s">
        <v>124</v>
      </c>
    </row>
    <row r="12" spans="1:2">
      <c r="A12" t="s">
        <v>125</v>
      </c>
    </row>
  </sheetData>
  <sheetProtection sheet="1"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Desktop Campus</vt:lpstr>
      <vt:lpstr>Desktop Campus s Enterprise CAL</vt:lpstr>
      <vt:lpstr>Rozpad Camp. Dsktp a s Ent CAL</vt:lpstr>
      <vt:lpstr>Poznámky</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Chrenová</dc:creator>
  <cp:lastModifiedBy>Jana Chrenová</cp:lastModifiedBy>
  <cp:lastPrinted>2008-04-23T08:43:48Z</cp:lastPrinted>
  <dcterms:created xsi:type="dcterms:W3CDTF">2008-04-07T15:07:19Z</dcterms:created>
  <dcterms:modified xsi:type="dcterms:W3CDTF">2008-04-23T08:54:14Z</dcterms:modified>
</cp:coreProperties>
</file>