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95" windowHeight="8445" activeTab="5"/>
  </bookViews>
  <sheets>
    <sheet name="Benefits" sheetId="4" r:id="rId1"/>
    <sheet name="Costs" sheetId="1" r:id="rId2"/>
    <sheet name="Risks" sheetId="3" r:id="rId3"/>
    <sheet name="Year 1 Summary" sheetId="5" r:id="rId4"/>
    <sheet name="3 Year Summary (Direct)" sheetId="6" r:id="rId5"/>
    <sheet name="3 Year Summary (All)" sheetId="7" r:id="rId6"/>
  </sheets>
  <calcPr calcId="125725"/>
</workbook>
</file>

<file path=xl/calcChain.xml><?xml version="1.0" encoding="utf-8"?>
<calcChain xmlns="http://schemas.openxmlformats.org/spreadsheetml/2006/main">
  <c r="C3" i="4"/>
  <c r="C2"/>
  <c r="E6" i="3"/>
  <c r="C6"/>
  <c r="C4" i="4"/>
  <c r="C5"/>
  <c r="C6"/>
  <c r="B8" i="7"/>
  <c r="E7"/>
  <c r="D7"/>
  <c r="C7"/>
  <c r="E2"/>
  <c r="D2"/>
  <c r="C2"/>
  <c r="B2"/>
  <c r="B4" s="1"/>
  <c r="B5" s="1"/>
  <c r="B10" i="5"/>
  <c r="C7" i="4"/>
  <c r="C4" i="3"/>
  <c r="C7" i="1"/>
  <c r="D7" i="6"/>
  <c r="E7"/>
  <c r="C7"/>
  <c r="D2"/>
  <c r="E2"/>
  <c r="C2"/>
  <c r="B8"/>
  <c r="E7" i="3"/>
  <c r="C2" i="5" s="1"/>
  <c r="C8" i="1"/>
  <c r="B3" i="5" s="1"/>
  <c r="C6" i="1"/>
  <c r="C4"/>
  <c r="C2"/>
  <c r="E5" i="3"/>
  <c r="E4"/>
  <c r="C3"/>
  <c r="E3" s="1"/>
  <c r="E2"/>
  <c r="C3" i="5" s="1"/>
  <c r="C9" l="1"/>
  <c r="C10"/>
  <c r="D10" s="1"/>
  <c r="B2"/>
  <c r="B2" i="6"/>
  <c r="B4" s="1"/>
  <c r="B5" s="1"/>
  <c r="D3" i="5"/>
  <c r="E3"/>
  <c r="E8" i="3"/>
  <c r="C8" i="4"/>
  <c r="E10" i="5" l="1"/>
  <c r="B7" i="7" s="1"/>
  <c r="B9" s="1"/>
  <c r="E3"/>
  <c r="E4" s="1"/>
  <c r="C3"/>
  <c r="C4" s="1"/>
  <c r="C5" s="1"/>
  <c r="D3"/>
  <c r="D4" s="1"/>
  <c r="B9" i="5"/>
  <c r="B10" i="7"/>
  <c r="D3" i="6"/>
  <c r="D4" s="1"/>
  <c r="E3"/>
  <c r="E4" s="1"/>
  <c r="C3"/>
  <c r="C4" s="1"/>
  <c r="C5" s="1"/>
  <c r="B7"/>
  <c r="B9" s="1"/>
  <c r="D5" i="7" l="1"/>
  <c r="E5" s="1"/>
  <c r="D9" i="5"/>
  <c r="E9"/>
  <c r="D5" i="6"/>
  <c r="E5" s="1"/>
  <c r="D2" i="5"/>
  <c r="E2"/>
  <c r="B10" i="6"/>
  <c r="E12" i="5" l="1"/>
  <c r="E8" i="7"/>
  <c r="C8"/>
  <c r="D8"/>
  <c r="D9" s="1"/>
  <c r="E5" i="5"/>
  <c r="D8" i="6"/>
  <c r="D9" s="1"/>
  <c r="C8"/>
  <c r="E8"/>
  <c r="E9" s="1"/>
  <c r="B19" i="7" l="1"/>
  <c r="E9"/>
  <c r="C9"/>
  <c r="B18"/>
  <c r="C9" i="6"/>
  <c r="B19"/>
  <c r="B18"/>
  <c r="B17" i="7" l="1"/>
  <c r="B16"/>
  <c r="C10"/>
  <c r="D10" s="1"/>
  <c r="E10" s="1"/>
  <c r="B16" i="6"/>
  <c r="C10"/>
  <c r="D10" s="1"/>
  <c r="E10" s="1"/>
  <c r="B17"/>
</calcChain>
</file>

<file path=xl/comments1.xml><?xml version="1.0" encoding="utf-8"?>
<comments xmlns="http://schemas.openxmlformats.org/spreadsheetml/2006/main">
  <authors>
    <author>David Downs</author>
  </authors>
  <commentList>
    <comment ref="C7" authorId="0">
      <text>
        <r>
          <rPr>
            <b/>
            <sz val="9"/>
            <color indexed="81"/>
            <rFont val="Tahoma"/>
            <charset val="1"/>
          </rPr>
          <t>David Downs:</t>
        </r>
        <r>
          <rPr>
            <sz val="9"/>
            <color indexed="81"/>
            <rFont val="Tahoma"/>
            <charset val="1"/>
          </rPr>
          <t xml:space="preserve">
2 hours, 15 people, 12 months, at fully loaded cost</t>
        </r>
      </text>
    </comment>
  </commentList>
</comments>
</file>

<file path=xl/sharedStrings.xml><?xml version="1.0" encoding="utf-8"?>
<sst xmlns="http://schemas.openxmlformats.org/spreadsheetml/2006/main" count="96" uniqueCount="58">
  <si>
    <t>Benefits</t>
  </si>
  <si>
    <t>MDOP</t>
  </si>
  <si>
    <t>Retain older hardware</t>
  </si>
  <si>
    <t>Save on form factor</t>
  </si>
  <si>
    <t>DirectAccess</t>
  </si>
  <si>
    <t>Virtualise application</t>
  </si>
  <si>
    <t>IT Efficiencies</t>
  </si>
  <si>
    <t>Benefit Value</t>
  </si>
  <si>
    <t>Benefits / Features</t>
  </si>
  <si>
    <t xml:space="preserve">Server hardware upgrades  </t>
  </si>
  <si>
    <t xml:space="preserve">New server hardware  </t>
  </si>
  <si>
    <t>Risk Item</t>
  </si>
  <si>
    <t>Impact</t>
  </si>
  <si>
    <t>Probability</t>
  </si>
  <si>
    <t>Exposure</t>
  </si>
  <si>
    <t>Netbooks might not suit 3 management staff</t>
  </si>
  <si>
    <t>Direct Access may drive increased helpdesk</t>
  </si>
  <si>
    <t>Old hardware may need parts</t>
  </si>
  <si>
    <t>Implementation costs may be higher than expected</t>
  </si>
  <si>
    <t>Total</t>
  </si>
  <si>
    <t>Desktop upgrade</t>
  </si>
  <si>
    <t xml:space="preserve">IT staff training  </t>
  </si>
  <si>
    <t>Category</t>
  </si>
  <si>
    <t>Value</t>
  </si>
  <si>
    <t>Risk Exposure</t>
  </si>
  <si>
    <t>Risk Adjusted Value</t>
  </si>
  <si>
    <t>Cost</t>
  </si>
  <si>
    <t>Benefit</t>
  </si>
  <si>
    <t>Type</t>
  </si>
  <si>
    <t>IT staff benefits may be overstated</t>
  </si>
  <si>
    <t>Risk %</t>
  </si>
  <si>
    <t>Year</t>
  </si>
  <si>
    <t>Costs</t>
  </si>
  <si>
    <t>Net Cashflow</t>
  </si>
  <si>
    <t>Cumulative Cashflow</t>
  </si>
  <si>
    <t>Risk Adjusted Costs</t>
  </si>
  <si>
    <t>Risk Adjusted Benefits</t>
  </si>
  <si>
    <t>Net risk-adjusted cashflow</t>
  </si>
  <si>
    <t>Cumulative risk-adjusted cashflow</t>
  </si>
  <si>
    <t>Cost of Capital</t>
  </si>
  <si>
    <t>Risk Adjusted IRR</t>
  </si>
  <si>
    <t>Risk Adjusted NPV</t>
  </si>
  <si>
    <t>Risk Adjusted Payback Period</t>
  </si>
  <si>
    <t>Risk Adjusted ROI</t>
  </si>
  <si>
    <t>Hurdle Rate</t>
  </si>
  <si>
    <t xml:space="preserve">Server hardware deployment &amp; planning services  </t>
  </si>
  <si>
    <t>One-off</t>
  </si>
  <si>
    <t>Annual</t>
  </si>
  <si>
    <t>Frequency</t>
  </si>
  <si>
    <t>End user productivity</t>
  </si>
  <si>
    <t>Year 1 Net Risk-Adjusted Benefit</t>
  </si>
  <si>
    <t>Direct</t>
  </si>
  <si>
    <t>Indirect</t>
  </si>
  <si>
    <t>Benefit (Direct)</t>
  </si>
  <si>
    <t>Benefit (All)</t>
  </si>
  <si>
    <t xml:space="preserve">Cost </t>
  </si>
  <si>
    <t xml:space="preserve">Cost Value </t>
  </si>
  <si>
    <t>Productivity gains may be overstated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</si>
</sst>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\ &quot; Years&quot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8"/>
      <name val="Calibri"/>
      <scheme val="minor"/>
    </font>
    <font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8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164" fontId="0" fillId="0" borderId="0" xfId="2" applyNumberFormat="1" applyFont="1"/>
    <xf numFmtId="9" fontId="0" fillId="0" borderId="0" xfId="3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6" fillId="0" borderId="0" xfId="2" applyNumberFormat="1" applyFont="1"/>
    <xf numFmtId="0" fontId="7" fillId="0" borderId="0" xfId="0" applyFont="1"/>
    <xf numFmtId="164" fontId="7" fillId="0" borderId="0" xfId="2" applyNumberFormat="1" applyFont="1"/>
    <xf numFmtId="9" fontId="7" fillId="0" borderId="0" xfId="0" applyNumberFormat="1" applyFont="1"/>
    <xf numFmtId="0" fontId="7" fillId="0" borderId="0" xfId="0" applyFont="1" applyBorder="1"/>
    <xf numFmtId="164" fontId="7" fillId="0" borderId="0" xfId="2" applyNumberFormat="1" applyFont="1" applyBorder="1"/>
    <xf numFmtId="9" fontId="7" fillId="0" borderId="0" xfId="0" applyNumberFormat="1" applyFont="1" applyBorder="1"/>
    <xf numFmtId="0" fontId="9" fillId="0" borderId="0" xfId="0" applyFont="1"/>
    <xf numFmtId="9" fontId="7" fillId="0" borderId="0" xfId="3" applyFont="1"/>
    <xf numFmtId="164" fontId="8" fillId="2" borderId="7" xfId="2" applyNumberFormat="1" applyFont="1" applyFill="1" applyBorder="1"/>
    <xf numFmtId="165" fontId="8" fillId="2" borderId="7" xfId="1" applyNumberFormat="1" applyFont="1" applyFill="1" applyBorder="1"/>
    <xf numFmtId="0" fontId="9" fillId="0" borderId="1" xfId="0" applyFont="1" applyBorder="1"/>
    <xf numFmtId="164" fontId="9" fillId="0" borderId="2" xfId="2" applyNumberFormat="1" applyFont="1" applyBorder="1"/>
    <xf numFmtId="0" fontId="9" fillId="0" borderId="4" xfId="0" applyFont="1" applyBorder="1"/>
    <xf numFmtId="164" fontId="9" fillId="0" borderId="5" xfId="2" applyNumberFormat="1" applyFont="1" applyBorder="1"/>
    <xf numFmtId="164" fontId="9" fillId="0" borderId="6" xfId="2" applyNumberFormat="1" applyFont="1" applyBorder="1"/>
    <xf numFmtId="164" fontId="9" fillId="0" borderId="3" xfId="2" applyNumberFormat="1" applyFont="1" applyBorder="1"/>
    <xf numFmtId="164" fontId="9" fillId="0" borderId="0" xfId="2" applyNumberFormat="1" applyFont="1"/>
    <xf numFmtId="0" fontId="10" fillId="0" borderId="4" xfId="0" applyFont="1" applyBorder="1"/>
    <xf numFmtId="164" fontId="10" fillId="0" borderId="5" xfId="2" applyNumberFormat="1" applyFont="1" applyBorder="1"/>
    <xf numFmtId="164" fontId="10" fillId="0" borderId="6" xfId="2" applyNumberFormat="1" applyFont="1" applyBorder="1"/>
    <xf numFmtId="0" fontId="10" fillId="0" borderId="0" xfId="0" applyFont="1" applyBorder="1"/>
    <xf numFmtId="164" fontId="10" fillId="0" borderId="0" xfId="2" applyNumberFormat="1" applyFont="1" applyBorder="1"/>
    <xf numFmtId="0" fontId="2" fillId="0" borderId="0" xfId="0" applyFont="1" applyAlignment="1">
      <alignment horizontal="left" wrapText="1" readingOrder="1"/>
    </xf>
    <xf numFmtId="6" fontId="7" fillId="0" borderId="0" xfId="0" applyNumberFormat="1" applyFont="1"/>
    <xf numFmtId="166" fontId="7" fillId="0" borderId="0" xfId="0" applyNumberFormat="1" applyFont="1"/>
    <xf numFmtId="164" fontId="7" fillId="3" borderId="0" xfId="2" applyNumberFormat="1" applyFont="1" applyFill="1"/>
    <xf numFmtId="164" fontId="7" fillId="0" borderId="0" xfId="2" applyNumberFormat="1" applyFont="1" applyFill="1"/>
    <xf numFmtId="0" fontId="11" fillId="0" borderId="0" xfId="0" applyFont="1"/>
    <xf numFmtId="164" fontId="11" fillId="0" borderId="0" xfId="0" applyNumberFormat="1" applyFont="1"/>
    <xf numFmtId="0" fontId="11" fillId="0" borderId="0" xfId="0" applyFont="1" applyBorder="1"/>
    <xf numFmtId="164" fontId="11" fillId="0" borderId="0" xfId="2" applyNumberFormat="1" applyFont="1" applyBorder="1"/>
    <xf numFmtId="0" fontId="14" fillId="0" borderId="0" xfId="0" applyFont="1"/>
    <xf numFmtId="0" fontId="15" fillId="0" borderId="0" xfId="0" applyFont="1"/>
    <xf numFmtId="164" fontId="11" fillId="0" borderId="0" xfId="2" applyNumberFormat="1" applyFont="1"/>
    <xf numFmtId="9" fontId="11" fillId="0" borderId="0" xfId="0" applyNumberFormat="1" applyFont="1"/>
    <xf numFmtId="0" fontId="11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8"/>
        <name val="Calibri"/>
        <scheme val="minor"/>
      </font>
    </dxf>
    <dxf>
      <font>
        <strike val="0"/>
        <outline val="0"/>
        <shadow val="0"/>
        <u val="none"/>
        <vertAlign val="baseline"/>
        <sz val="18"/>
        <name val="Calibri"/>
        <scheme val="minor"/>
      </font>
    </dxf>
    <dxf>
      <font>
        <strike val="0"/>
        <outline val="0"/>
        <shadow val="0"/>
        <u val="none"/>
        <vertAlign val="baseline"/>
        <sz val="18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Benefits" displayName="tBenefits" ref="A1:C8" totalsRowCount="1" headerRowDxfId="44" dataDxfId="43" totalsRowDxfId="42">
  <autoFilter ref="A1:C7">
    <filterColumn colId="0"/>
  </autoFilter>
  <tableColumns count="3">
    <tableColumn id="3" name="Type" dataDxfId="41" totalsRowDxfId="2"/>
    <tableColumn id="1" name="Benefits / Features" totalsRowLabel="Total" dataDxfId="40" totalsRowDxfId="1"/>
    <tableColumn id="2" name="Benefit Value" totalsRowFunction="sum" dataDxfId="39" totalsRowDxfId="0" dataCellStyle="Currency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4" name="tCosts" displayName="tCosts" ref="A1:C8" totalsRowCount="1" headerRowDxfId="38" dataDxfId="37" totalsRowDxfId="36">
  <autoFilter ref="A1:C7">
    <filterColumn colId="0"/>
  </autoFilter>
  <tableColumns count="3">
    <tableColumn id="3" name="Frequency" dataDxfId="35" totalsRowDxfId="34"/>
    <tableColumn id="1" name="Cost " totalsRowLabel="Total" dataDxfId="33" totalsRowDxfId="32"/>
    <tableColumn id="2" name="Cost Value " totalsRowFunction="sum" dataDxfId="31" totalsRowDxfId="30" dataCellStyle="Currency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3" name="tRisks" displayName="tRisks" ref="A1:E8" totalsRowCount="1" headerRowDxfId="29" dataDxfId="28" totalsRowDxfId="27">
  <autoFilter ref="A1:E7">
    <filterColumn colId="1"/>
  </autoFilter>
  <tableColumns count="5">
    <tableColumn id="1" name="Risk Item" totalsRowLabel="Total" dataDxfId="26" totalsRowDxfId="25"/>
    <tableColumn id="5" name="Type" dataDxfId="24" totalsRowDxfId="23"/>
    <tableColumn id="2" name="Impact" dataDxfId="22" totalsRowDxfId="21" dataCellStyle="Currency"/>
    <tableColumn id="3" name="Probability" dataDxfId="20" totalsRowDxfId="19"/>
    <tableColumn id="4" name="Exposure" totalsRowFunction="sum" dataDxfId="18" totalsRowDxfId="17" dataCellStyle="Currency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5" name="tYear1Direct" displayName="tYear1Direct" ref="A1:E3" totalsRowShown="0" headerRowDxfId="16" dataDxfId="15">
  <autoFilter ref="A1:E3">
    <filterColumn colId="3"/>
  </autoFilter>
  <tableColumns count="5">
    <tableColumn id="1" name="Category" dataDxfId="14"/>
    <tableColumn id="2" name="Value" dataDxfId="13" dataCellStyle="Currency">
      <calculatedColumnFormula>tCosts[[#Totals],[Cost Value ]]</calculatedColumnFormula>
    </tableColumn>
    <tableColumn id="3" name="Risk Exposure" dataDxfId="12" dataCellStyle="Currency">
      <calculatedColumnFormula>SUMIF(tRisks[Type],"Benefit",tRisks[Exposure])*-1</calculatedColumnFormula>
    </tableColumn>
    <tableColumn id="5" name="Risk %" dataDxfId="11" dataCellStyle="Percent"/>
    <tableColumn id="4" name="Risk Adjusted Value" dataDxfId="10" dataCellStyle="Currency">
      <calculatedColumnFormula>B2+C2</calculatedColumnFormula>
    </tableColumn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2" name="tYear1All" displayName="tYear1All" ref="A8:E10" totalsRowShown="0" headerRowDxfId="9" dataDxfId="8">
  <autoFilter ref="A8:E10"/>
  <tableColumns count="5">
    <tableColumn id="1" name="Category" dataDxfId="7"/>
    <tableColumn id="2" name="Value" dataDxfId="6" dataCellStyle="Currency">
      <calculatedColumnFormula>tCosts[[#Totals],[Cost Value ]]</calculatedColumnFormula>
    </tableColumn>
    <tableColumn id="3" name="Risk Exposure" dataDxfId="5" dataCellStyle="Currency">
      <calculatedColumnFormula>SUMIF(tRisks[Type],"Benefit",tRisks[Exposure])*-1</calculatedColumnFormula>
    </tableColumn>
    <tableColumn id="5" name="Risk %" dataDxfId="4" dataCellStyle="Percent">
      <calculatedColumnFormula>tYear1All[[#This Row],[Risk Exposure]]/tYear1All[[#This Row],[Value]]</calculatedColumnFormula>
    </tableColumn>
    <tableColumn id="4" name="Risk Adjusted Value" dataDxfId="3" dataCellStyle="Currency">
      <calculatedColumnFormula>B9+C9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C4" sqref="C4"/>
    </sheetView>
  </sheetViews>
  <sheetFormatPr defaultRowHeight="15"/>
  <cols>
    <col min="1" max="1" width="12.140625" bestFit="1" customWidth="1"/>
    <col min="2" max="2" width="33.5703125" style="1" bestFit="1" customWidth="1"/>
    <col min="3" max="3" width="25.140625" bestFit="1" customWidth="1"/>
  </cols>
  <sheetData>
    <row r="1" spans="1:3" ht="23.25">
      <c r="A1" s="35" t="s">
        <v>28</v>
      </c>
      <c r="B1" s="8" t="s">
        <v>8</v>
      </c>
      <c r="C1" s="9" t="s">
        <v>7</v>
      </c>
    </row>
    <row r="2" spans="1:3" ht="23.25">
      <c r="A2" s="35" t="s">
        <v>51</v>
      </c>
      <c r="B2" s="8" t="s">
        <v>2</v>
      </c>
      <c r="C2" s="9">
        <f>500*10</f>
        <v>5000</v>
      </c>
    </row>
    <row r="3" spans="1:3" ht="23.25">
      <c r="A3" s="35" t="s">
        <v>51</v>
      </c>
      <c r="B3" s="8" t="s">
        <v>3</v>
      </c>
      <c r="C3" s="9">
        <f>1000*10/4</f>
        <v>2500</v>
      </c>
    </row>
    <row r="4" spans="1:3" ht="23.25">
      <c r="A4" s="35" t="s">
        <v>51</v>
      </c>
      <c r="B4" s="8" t="s">
        <v>4</v>
      </c>
      <c r="C4" s="33">
        <f>((100+(18*3))*15)/3</f>
        <v>770</v>
      </c>
    </row>
    <row r="5" spans="1:3" ht="23.25">
      <c r="A5" s="35" t="s">
        <v>51</v>
      </c>
      <c r="B5" s="8" t="s">
        <v>5</v>
      </c>
      <c r="C5" s="9">
        <f>60*15</f>
        <v>900</v>
      </c>
    </row>
    <row r="6" spans="1:3" ht="23.25">
      <c r="A6" s="35" t="s">
        <v>51</v>
      </c>
      <c r="B6" s="8" t="s">
        <v>6</v>
      </c>
      <c r="C6" s="9">
        <f>5*100*12</f>
        <v>6000</v>
      </c>
    </row>
    <row r="7" spans="1:3" ht="23.25">
      <c r="A7" s="35" t="s">
        <v>52</v>
      </c>
      <c r="B7" s="37" t="s">
        <v>49</v>
      </c>
      <c r="C7" s="38">
        <f>2*15*12*(100000/2080)</f>
        <v>17307.692307692309</v>
      </c>
    </row>
    <row r="8" spans="1:3" ht="23.25">
      <c r="A8" s="35"/>
      <c r="B8" s="35" t="s">
        <v>19</v>
      </c>
      <c r="C8" s="36">
        <f>SUBTOTAL(109,[Benefit Value])</f>
        <v>32477.692307692309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B5" sqref="B5"/>
    </sheetView>
  </sheetViews>
  <sheetFormatPr defaultRowHeight="15"/>
  <cols>
    <col min="1" max="1" width="20.7109375" style="5" bestFit="1" customWidth="1"/>
    <col min="2" max="2" width="73.7109375" style="1" bestFit="1" customWidth="1"/>
    <col min="3" max="3" width="20.7109375" style="5" bestFit="1" customWidth="1"/>
    <col min="4" max="16384" width="9.140625" style="5"/>
  </cols>
  <sheetData>
    <row r="1" spans="1:3" ht="23.25">
      <c r="A1" s="9" t="s">
        <v>48</v>
      </c>
      <c r="B1" s="40" t="s">
        <v>55</v>
      </c>
      <c r="C1" s="9" t="s">
        <v>56</v>
      </c>
    </row>
    <row r="2" spans="1:3" ht="23.25">
      <c r="A2" s="14" t="s">
        <v>46</v>
      </c>
      <c r="B2" s="14" t="s">
        <v>21</v>
      </c>
      <c r="C2" s="9">
        <f>100*12</f>
        <v>1200</v>
      </c>
    </row>
    <row r="3" spans="1:3" ht="23.25">
      <c r="A3" s="14" t="s">
        <v>46</v>
      </c>
      <c r="B3" s="14" t="s">
        <v>9</v>
      </c>
      <c r="C3" s="9">
        <v>1000</v>
      </c>
    </row>
    <row r="4" spans="1:3" ht="23.25">
      <c r="A4" s="14" t="s">
        <v>46</v>
      </c>
      <c r="B4" s="14" t="s">
        <v>45</v>
      </c>
      <c r="C4" s="9">
        <f>100*20</f>
        <v>2000</v>
      </c>
    </row>
    <row r="5" spans="1:3" ht="23.25">
      <c r="A5" s="14" t="s">
        <v>46</v>
      </c>
      <c r="B5" s="14" t="s">
        <v>10</v>
      </c>
      <c r="C5" s="9">
        <v>3800</v>
      </c>
    </row>
    <row r="6" spans="1:3" ht="23.25">
      <c r="A6" s="14" t="s">
        <v>46</v>
      </c>
      <c r="B6" s="14" t="s">
        <v>20</v>
      </c>
      <c r="C6" s="9">
        <f>100*4*29</f>
        <v>11600</v>
      </c>
    </row>
    <row r="7" spans="1:3" ht="23.25">
      <c r="A7" s="14" t="s">
        <v>47</v>
      </c>
      <c r="B7" s="14" t="s">
        <v>1</v>
      </c>
      <c r="C7" s="34">
        <f>29*(10/0.6)</f>
        <v>483.33333333333337</v>
      </c>
    </row>
    <row r="8" spans="1:3" ht="23.25">
      <c r="A8" s="35"/>
      <c r="B8" s="39" t="s">
        <v>19</v>
      </c>
      <c r="C8" s="36">
        <f>SUBTOTAL(109,[[Cost Value ]])</f>
        <v>20083.333333333332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A10" sqref="A10"/>
    </sheetView>
  </sheetViews>
  <sheetFormatPr defaultRowHeight="26.25"/>
  <cols>
    <col min="1" max="1" width="75.7109375" style="6" bestFit="1" customWidth="1"/>
    <col min="2" max="2" width="11.42578125" style="6" bestFit="1" customWidth="1"/>
    <col min="3" max="3" width="17.140625" style="7" bestFit="1" customWidth="1"/>
    <col min="4" max="4" width="19.42578125" style="6" bestFit="1" customWidth="1"/>
    <col min="5" max="5" width="19" style="7" bestFit="1" customWidth="1"/>
    <col min="6" max="16384" width="9.140625" style="6"/>
  </cols>
  <sheetData>
    <row r="1" spans="1:5">
      <c r="A1" s="8" t="s">
        <v>11</v>
      </c>
      <c r="B1" s="8" t="s">
        <v>28</v>
      </c>
      <c r="C1" s="9" t="s">
        <v>12</v>
      </c>
      <c r="D1" s="8" t="s">
        <v>13</v>
      </c>
      <c r="E1" s="9" t="s">
        <v>14</v>
      </c>
    </row>
    <row r="2" spans="1:5">
      <c r="A2" s="8" t="s">
        <v>15</v>
      </c>
      <c r="B2" s="8" t="s">
        <v>26</v>
      </c>
      <c r="C2" s="9">
        <v>3000</v>
      </c>
      <c r="D2" s="10">
        <v>0.4</v>
      </c>
      <c r="E2" s="9">
        <f t="shared" ref="E2:E7" si="0">C2*D2</f>
        <v>1200</v>
      </c>
    </row>
    <row r="3" spans="1:5">
      <c r="A3" s="8" t="s">
        <v>16</v>
      </c>
      <c r="B3" s="8" t="s">
        <v>26</v>
      </c>
      <c r="C3" s="9">
        <f>100*10</f>
        <v>1000</v>
      </c>
      <c r="D3" s="10">
        <v>0.6</v>
      </c>
      <c r="E3" s="9">
        <f t="shared" si="0"/>
        <v>600</v>
      </c>
    </row>
    <row r="4" spans="1:5">
      <c r="A4" s="8" t="s">
        <v>17</v>
      </c>
      <c r="B4" s="8" t="s">
        <v>26</v>
      </c>
      <c r="C4" s="9">
        <f>200*14</f>
        <v>2800</v>
      </c>
      <c r="D4" s="10">
        <v>0.4</v>
      </c>
      <c r="E4" s="9">
        <f t="shared" si="0"/>
        <v>1120</v>
      </c>
    </row>
    <row r="5" spans="1:5">
      <c r="A5" s="8" t="s">
        <v>18</v>
      </c>
      <c r="B5" s="8" t="s">
        <v>26</v>
      </c>
      <c r="C5" s="9">
        <v>2000</v>
      </c>
      <c r="D5" s="10">
        <v>0.6</v>
      </c>
      <c r="E5" s="9">
        <f t="shared" si="0"/>
        <v>1200</v>
      </c>
    </row>
    <row r="6" spans="1:5">
      <c r="A6" s="35" t="s">
        <v>57</v>
      </c>
      <c r="B6" s="35" t="s">
        <v>27</v>
      </c>
      <c r="C6" s="41">
        <f>Benefits!C7*0.25</f>
        <v>4326.9230769230771</v>
      </c>
      <c r="D6" s="42">
        <v>0.4</v>
      </c>
      <c r="E6" s="9">
        <f t="shared" si="0"/>
        <v>1730.7692307692309</v>
      </c>
    </row>
    <row r="7" spans="1:5">
      <c r="A7" s="11" t="s">
        <v>29</v>
      </c>
      <c r="B7" s="11" t="s">
        <v>27</v>
      </c>
      <c r="C7" s="12">
        <v>4000</v>
      </c>
      <c r="D7" s="13">
        <v>0.4</v>
      </c>
      <c r="E7" s="9">
        <f t="shared" si="0"/>
        <v>1600</v>
      </c>
    </row>
    <row r="8" spans="1:5">
      <c r="A8" s="35" t="s">
        <v>19</v>
      </c>
      <c r="B8" s="35"/>
      <c r="C8" s="43"/>
      <c r="D8" s="35"/>
      <c r="E8" s="36">
        <f>SUBTOTAL(109,[Exposure])</f>
        <v>7450.7692307692305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B17" sqref="B17"/>
    </sheetView>
  </sheetViews>
  <sheetFormatPr defaultRowHeight="15"/>
  <cols>
    <col min="1" max="1" width="26.42578125" customWidth="1"/>
    <col min="2" max="2" width="14.5703125" style="1" bestFit="1" customWidth="1"/>
    <col min="3" max="3" width="26" style="1" bestFit="1" customWidth="1"/>
    <col min="4" max="4" width="12.85546875" style="2" bestFit="1" customWidth="1"/>
    <col min="5" max="5" width="34.7109375" style="1" bestFit="1" customWidth="1"/>
  </cols>
  <sheetData>
    <row r="1" spans="1:5" ht="23.25">
      <c r="A1" s="8" t="s">
        <v>22</v>
      </c>
      <c r="B1" s="9" t="s">
        <v>23</v>
      </c>
      <c r="C1" s="9" t="s">
        <v>24</v>
      </c>
      <c r="D1" s="15" t="s">
        <v>30</v>
      </c>
      <c r="E1" s="9" t="s">
        <v>25</v>
      </c>
    </row>
    <row r="2" spans="1:5" ht="23.25">
      <c r="A2" s="8" t="s">
        <v>53</v>
      </c>
      <c r="B2" s="9">
        <f>SUMIF(tBenefits[Type],"Direct",tBenefits[Benefit Value])</f>
        <v>15170</v>
      </c>
      <c r="C2" s="9">
        <f>SUMIF(tRisks[Type],"Benefit",tRisks[Exposure])*-1</f>
        <v>-3330.7692307692309</v>
      </c>
      <c r="D2" s="15">
        <f>tYear1Direct[[#This Row],[Risk Exposure]]/tYear1Direct[[#This Row],[Value]]</f>
        <v>-0.21956290248973176</v>
      </c>
      <c r="E2" s="9">
        <f>B2+C2</f>
        <v>11839.23076923077</v>
      </c>
    </row>
    <row r="3" spans="1:5" ht="23.25">
      <c r="A3" s="8" t="s">
        <v>26</v>
      </c>
      <c r="B3" s="9">
        <f>tCosts[[#Totals],[Cost Value ]]</f>
        <v>20083.333333333332</v>
      </c>
      <c r="C3" s="9">
        <f>SUMIF(tRisks[Type],"Cost",tRisks[Exposure])</f>
        <v>4120</v>
      </c>
      <c r="D3" s="15">
        <f>tYear1Direct[[#This Row],[Risk Exposure]]/tYear1Direct[[#This Row],[Value]]</f>
        <v>0.20514522821576764</v>
      </c>
      <c r="E3" s="9">
        <f>B3+C3</f>
        <v>24203.333333333332</v>
      </c>
    </row>
    <row r="4" spans="1:5" ht="23.25">
      <c r="A4" s="8"/>
      <c r="B4" s="9"/>
      <c r="C4" s="9"/>
      <c r="D4" s="15"/>
      <c r="E4" s="9"/>
    </row>
    <row r="5" spans="1:5" ht="23.25">
      <c r="A5" s="8" t="s">
        <v>50</v>
      </c>
      <c r="B5" s="9"/>
      <c r="C5" s="9"/>
      <c r="D5" s="15"/>
      <c r="E5" s="9">
        <f>E2-E3</f>
        <v>-12364.102564102563</v>
      </c>
    </row>
    <row r="8" spans="1:5" ht="23.25">
      <c r="A8" s="8" t="s">
        <v>22</v>
      </c>
      <c r="B8" s="9" t="s">
        <v>23</v>
      </c>
      <c r="C8" s="9" t="s">
        <v>24</v>
      </c>
      <c r="D8" s="15" t="s">
        <v>30</v>
      </c>
      <c r="E8" s="9" t="s">
        <v>25</v>
      </c>
    </row>
    <row r="9" spans="1:5" ht="23.25">
      <c r="A9" s="8" t="s">
        <v>54</v>
      </c>
      <c r="B9" s="9">
        <f>tBenefits[[#Totals],[Benefit Value]]</f>
        <v>32477.692307692309</v>
      </c>
      <c r="C9" s="9">
        <f>SUMIF(tRisks[Type],"Benefit",tRisks[Exposure])*-1</f>
        <v>-3330.7692307692309</v>
      </c>
      <c r="D9" s="15">
        <f>tYear1All[[#This Row],[Risk Exposure]]/tYear1All[[#This Row],[Value]]</f>
        <v>-0.10255560029369272</v>
      </c>
      <c r="E9" s="9">
        <f>B9+C9</f>
        <v>29146.923076923078</v>
      </c>
    </row>
    <row r="10" spans="1:5" ht="23.25">
      <c r="A10" s="8" t="s">
        <v>26</v>
      </c>
      <c r="B10" s="9">
        <f>tCosts[[#Totals],[Cost Value ]]</f>
        <v>20083.333333333332</v>
      </c>
      <c r="C10" s="9">
        <f>SUMIF(tRisks[Type],"Cost",tRisks[Exposure])</f>
        <v>4120</v>
      </c>
      <c r="D10" s="15">
        <f>tYear1All[[#This Row],[Risk Exposure]]/tYear1All[[#This Row],[Value]]</f>
        <v>0.20514522821576764</v>
      </c>
      <c r="E10" s="9">
        <f>B10+C10</f>
        <v>24203.333333333332</v>
      </c>
    </row>
    <row r="11" spans="1:5" ht="23.25">
      <c r="A11" s="8"/>
      <c r="B11" s="9"/>
      <c r="C11" s="9"/>
      <c r="D11" s="15"/>
      <c r="E11" s="9"/>
    </row>
    <row r="12" spans="1:5" ht="23.25">
      <c r="A12" s="8" t="s">
        <v>50</v>
      </c>
      <c r="B12" s="9"/>
      <c r="C12" s="9"/>
      <c r="D12" s="15"/>
      <c r="E12" s="9">
        <f>E9-E10</f>
        <v>4943.5897435897459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E19"/>
  <sheetViews>
    <sheetView zoomScale="80" zoomScaleNormal="80" workbookViewId="0">
      <selection activeCell="D22" sqref="D21:D22"/>
    </sheetView>
  </sheetViews>
  <sheetFormatPr defaultColWidth="27.7109375" defaultRowHeight="12.75"/>
  <cols>
    <col min="1" max="1" width="52" style="3" bestFit="1" customWidth="1"/>
    <col min="2" max="2" width="19" style="3" customWidth="1"/>
    <col min="3" max="3" width="17.5703125" style="3" customWidth="1"/>
    <col min="4" max="4" width="19.140625" style="3" customWidth="1"/>
    <col min="5" max="5" width="17.85546875" style="3" customWidth="1"/>
    <col min="6" max="16384" width="27.7109375" style="3"/>
  </cols>
  <sheetData>
    <row r="1" spans="1:5" ht="23.25">
      <c r="A1" s="16" t="s">
        <v>31</v>
      </c>
      <c r="B1" s="17">
        <v>0</v>
      </c>
      <c r="C1" s="17">
        <v>1</v>
      </c>
      <c r="D1" s="17">
        <v>2</v>
      </c>
      <c r="E1" s="17">
        <v>3</v>
      </c>
    </row>
    <row r="2" spans="1:5" ht="23.25">
      <c r="A2" s="18" t="s">
        <v>32</v>
      </c>
      <c r="B2" s="19">
        <f>tCosts[[#Totals],[Cost Value ]]*-1</f>
        <v>-20083.333333333332</v>
      </c>
      <c r="C2" s="19">
        <f>SUMIF(tCosts[Frequency],"Annual",tCosts[[Cost Value ]])*-1</f>
        <v>-483.33333333333337</v>
      </c>
      <c r="D2" s="19">
        <f>SUMIF(tCosts[Frequency],"Annual",tCosts[[Cost Value ]])*-1</f>
        <v>-483.33333333333337</v>
      </c>
      <c r="E2" s="19">
        <f>SUMIF(tCosts[Frequency],"Annual",tCosts[[Cost Value ]])*-1</f>
        <v>-483.33333333333337</v>
      </c>
    </row>
    <row r="3" spans="1:5" ht="23.25">
      <c r="A3" s="20" t="s">
        <v>0</v>
      </c>
      <c r="B3" s="21">
        <v>0</v>
      </c>
      <c r="C3" s="21">
        <f>tBenefits[[#Totals],[Benefit Value]]</f>
        <v>32477.692307692309</v>
      </c>
      <c r="D3" s="21">
        <f>tBenefits[[#Totals],[Benefit Value]]</f>
        <v>32477.692307692309</v>
      </c>
      <c r="E3" s="22">
        <f>tBenefits[[#Totals],[Benefit Value]]</f>
        <v>32477.692307692309</v>
      </c>
    </row>
    <row r="4" spans="1:5" ht="23.25">
      <c r="A4" s="18" t="s">
        <v>33</v>
      </c>
      <c r="B4" s="19">
        <f>B2+B3</f>
        <v>-20083.333333333332</v>
      </c>
      <c r="C4" s="19">
        <f>C2+C3</f>
        <v>31994.358974358976</v>
      </c>
      <c r="D4" s="19">
        <f>D2+D3</f>
        <v>31994.358974358976</v>
      </c>
      <c r="E4" s="23">
        <f>E2+E3</f>
        <v>31994.358974358976</v>
      </c>
    </row>
    <row r="5" spans="1:5" ht="23.25">
      <c r="A5" s="20" t="s">
        <v>34</v>
      </c>
      <c r="B5" s="21">
        <f>B4</f>
        <v>-20083.333333333332</v>
      </c>
      <c r="C5" s="21">
        <f>B5+C4</f>
        <v>11911.025641025644</v>
      </c>
      <c r="D5" s="21">
        <f t="shared" ref="D5:E5" si="0">C5+D4</f>
        <v>43905.384615384624</v>
      </c>
      <c r="E5" s="22">
        <f t="shared" si="0"/>
        <v>75899.743589743593</v>
      </c>
    </row>
    <row r="6" spans="1:5" ht="33" customHeight="1">
      <c r="A6" s="14"/>
      <c r="B6" s="24"/>
      <c r="C6" s="24"/>
      <c r="D6" s="24"/>
      <c r="E6" s="24"/>
    </row>
    <row r="7" spans="1:5" ht="23.25">
      <c r="A7" s="18" t="s">
        <v>35</v>
      </c>
      <c r="B7" s="19">
        <f>'Year 1 Summary'!E3*-1</f>
        <v>-24203.333333333332</v>
      </c>
      <c r="C7" s="19">
        <f>SUMIF(tCosts[Frequency],"Annual",tCosts[[Cost Value ]])*-1</f>
        <v>-483.33333333333337</v>
      </c>
      <c r="D7" s="19">
        <f>SUMIF(tCosts[Frequency],"Annual",tCosts[[Cost Value ]])*-1</f>
        <v>-483.33333333333337</v>
      </c>
      <c r="E7" s="19">
        <f>SUMIF(tCosts[Frequency],"Annual",tCosts[[Cost Value ]])*-1</f>
        <v>-483.33333333333337</v>
      </c>
    </row>
    <row r="8" spans="1:5" ht="23.25">
      <c r="A8" s="20" t="s">
        <v>36</v>
      </c>
      <c r="B8" s="21">
        <f>0</f>
        <v>0</v>
      </c>
      <c r="C8" s="21">
        <f>'Year 1 Summary'!E2</f>
        <v>11839.23076923077</v>
      </c>
      <c r="D8" s="21">
        <f>'Year 1 Summary'!E2</f>
        <v>11839.23076923077</v>
      </c>
      <c r="E8" s="22">
        <f>'Year 1 Summary'!E2</f>
        <v>11839.23076923077</v>
      </c>
    </row>
    <row r="9" spans="1:5" ht="23.25">
      <c r="A9" s="18" t="s">
        <v>37</v>
      </c>
      <c r="B9" s="19">
        <f>B7+B8</f>
        <v>-24203.333333333332</v>
      </c>
      <c r="C9" s="19">
        <f t="shared" ref="C9:E9" si="1">C7+C8</f>
        <v>11355.897435897436</v>
      </c>
      <c r="D9" s="19">
        <f t="shared" si="1"/>
        <v>11355.897435897436</v>
      </c>
      <c r="E9" s="23">
        <f t="shared" si="1"/>
        <v>11355.897435897436</v>
      </c>
    </row>
    <row r="10" spans="1:5" s="4" customFormat="1" ht="23.25">
      <c r="A10" s="25" t="s">
        <v>38</v>
      </c>
      <c r="B10" s="26">
        <f>B9</f>
        <v>-24203.333333333332</v>
      </c>
      <c r="C10" s="26">
        <f>B10+C9</f>
        <v>-12847.435897435897</v>
      </c>
      <c r="D10" s="26">
        <f t="shared" ref="D10:E10" si="2">C10+D9</f>
        <v>-1491.538461538461</v>
      </c>
      <c r="E10" s="27">
        <f t="shared" si="2"/>
        <v>9864.3589743589746</v>
      </c>
    </row>
    <row r="11" spans="1:5" s="4" customFormat="1" ht="23.25">
      <c r="A11" s="28"/>
      <c r="B11" s="29"/>
      <c r="C11" s="29"/>
      <c r="D11" s="29"/>
      <c r="E11" s="29"/>
    </row>
    <row r="12" spans="1:5" ht="23.25">
      <c r="A12" s="14"/>
      <c r="B12" s="14"/>
      <c r="C12" s="14"/>
      <c r="D12" s="14"/>
      <c r="E12" s="14"/>
    </row>
    <row r="13" spans="1:5" ht="23.25">
      <c r="A13" s="30" t="s">
        <v>39</v>
      </c>
      <c r="B13" s="10">
        <v>0.15</v>
      </c>
      <c r="C13" s="14"/>
      <c r="D13" s="14"/>
      <c r="E13" s="14"/>
    </row>
    <row r="14" spans="1:5" ht="23.25">
      <c r="A14" s="30" t="s">
        <v>44</v>
      </c>
      <c r="B14" s="10">
        <v>0.25</v>
      </c>
      <c r="C14" s="14"/>
      <c r="D14" s="14"/>
      <c r="E14" s="14"/>
    </row>
    <row r="15" spans="1:5" ht="23.25">
      <c r="A15" s="8"/>
      <c r="B15" s="8"/>
      <c r="C15" s="14"/>
      <c r="D15" s="14"/>
      <c r="E15" s="14"/>
    </row>
    <row r="16" spans="1:5" ht="23.25">
      <c r="A16" s="8" t="s">
        <v>40</v>
      </c>
      <c r="B16" s="10">
        <f>IRR(B9:E9)</f>
        <v>0.19253806137283411</v>
      </c>
      <c r="C16" s="14"/>
      <c r="D16" s="14"/>
      <c r="E16" s="14"/>
    </row>
    <row r="17" spans="1:5" ht="23.25">
      <c r="A17" s="8" t="s">
        <v>41</v>
      </c>
      <c r="B17" s="31">
        <f>NPV(B13,C9:E9)+B9</f>
        <v>1724.7369197471962</v>
      </c>
      <c r="C17" s="14"/>
      <c r="D17" s="14"/>
      <c r="E17" s="14"/>
    </row>
    <row r="18" spans="1:5" ht="23.25">
      <c r="A18" s="8" t="s">
        <v>42</v>
      </c>
      <c r="B18" s="32">
        <f>B7/C8*-1</f>
        <v>2.0443332683602971</v>
      </c>
      <c r="C18" s="14"/>
      <c r="D18" s="14"/>
      <c r="E18" s="14"/>
    </row>
    <row r="19" spans="1:5" ht="23.25">
      <c r="A19" s="8" t="s">
        <v>43</v>
      </c>
      <c r="B19" s="15">
        <f>-(NPV(B13,C8:E8)/(NPV(B13,C7:E7)+B7))</f>
        <v>1.0681528537842495</v>
      </c>
      <c r="C19" s="14"/>
      <c r="D19" s="14"/>
      <c r="E19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9"/>
  <sheetViews>
    <sheetView tabSelected="1" zoomScale="80" zoomScaleNormal="80" workbookViewId="0">
      <selection activeCell="D17" sqref="D17"/>
    </sheetView>
  </sheetViews>
  <sheetFormatPr defaultColWidth="27.7109375" defaultRowHeight="12.75"/>
  <cols>
    <col min="1" max="1" width="52" style="3" bestFit="1" customWidth="1"/>
    <col min="2" max="2" width="19" style="3" customWidth="1"/>
    <col min="3" max="3" width="17.5703125" style="3" customWidth="1"/>
    <col min="4" max="4" width="19.140625" style="3" customWidth="1"/>
    <col min="5" max="5" width="17.85546875" style="3" customWidth="1"/>
    <col min="6" max="16384" width="27.7109375" style="3"/>
  </cols>
  <sheetData>
    <row r="1" spans="1:5" ht="23.25">
      <c r="A1" s="16" t="s">
        <v>31</v>
      </c>
      <c r="B1" s="17">
        <v>0</v>
      </c>
      <c r="C1" s="17">
        <v>1</v>
      </c>
      <c r="D1" s="17">
        <v>2</v>
      </c>
      <c r="E1" s="17">
        <v>3</v>
      </c>
    </row>
    <row r="2" spans="1:5" ht="23.25">
      <c r="A2" s="18" t="s">
        <v>32</v>
      </c>
      <c r="B2" s="19">
        <f>tCosts[[#Totals],[Cost Value ]]*-1</f>
        <v>-20083.333333333332</v>
      </c>
      <c r="C2" s="19">
        <f>SUMIF(tCosts[Frequency],"Annual",tCosts[[Cost Value ]])*-1</f>
        <v>-483.33333333333337</v>
      </c>
      <c r="D2" s="19">
        <f>SUMIF(tCosts[Frequency],"Annual",tCosts[[Cost Value ]])*-1</f>
        <v>-483.33333333333337</v>
      </c>
      <c r="E2" s="19">
        <f>SUMIF(tCosts[Frequency],"Annual",tCosts[[Cost Value ]])*-1</f>
        <v>-483.33333333333337</v>
      </c>
    </row>
    <row r="3" spans="1:5" ht="23.25">
      <c r="A3" s="20" t="s">
        <v>0</v>
      </c>
      <c r="B3" s="21">
        <v>0</v>
      </c>
      <c r="C3" s="21">
        <f>tBenefits[[#Totals],[Benefit Value]]</f>
        <v>32477.692307692309</v>
      </c>
      <c r="D3" s="21">
        <f>tBenefits[[#Totals],[Benefit Value]]</f>
        <v>32477.692307692309</v>
      </c>
      <c r="E3" s="22">
        <f>tBenefits[[#Totals],[Benefit Value]]</f>
        <v>32477.692307692309</v>
      </c>
    </row>
    <row r="4" spans="1:5" ht="23.25">
      <c r="A4" s="18" t="s">
        <v>33</v>
      </c>
      <c r="B4" s="19">
        <f>B2+B3</f>
        <v>-20083.333333333332</v>
      </c>
      <c r="C4" s="19">
        <f>C2+C3</f>
        <v>31994.358974358976</v>
      </c>
      <c r="D4" s="19">
        <f>D2+D3</f>
        <v>31994.358974358976</v>
      </c>
      <c r="E4" s="23">
        <f>E2+E3</f>
        <v>31994.358974358976</v>
      </c>
    </row>
    <row r="5" spans="1:5" ht="23.25">
      <c r="A5" s="20" t="s">
        <v>34</v>
      </c>
      <c r="B5" s="21">
        <f>B4</f>
        <v>-20083.333333333332</v>
      </c>
      <c r="C5" s="21">
        <f>B5+C4</f>
        <v>11911.025641025644</v>
      </c>
      <c r="D5" s="21">
        <f t="shared" ref="D5:E5" si="0">C5+D4</f>
        <v>43905.384615384624</v>
      </c>
      <c r="E5" s="22">
        <f t="shared" si="0"/>
        <v>75899.743589743593</v>
      </c>
    </row>
    <row r="6" spans="1:5" ht="33" customHeight="1">
      <c r="A6" s="14"/>
      <c r="B6" s="24"/>
      <c r="C6" s="24"/>
      <c r="D6" s="24"/>
      <c r="E6" s="24"/>
    </row>
    <row r="7" spans="1:5" ht="23.25">
      <c r="A7" s="18" t="s">
        <v>35</v>
      </c>
      <c r="B7" s="19">
        <f>'Year 1 Summary'!E10*-1</f>
        <v>-24203.333333333332</v>
      </c>
      <c r="C7" s="19">
        <f>SUMIF(tCosts[Frequency],"Annual",tCosts[[Cost Value ]])*-1</f>
        <v>-483.33333333333337</v>
      </c>
      <c r="D7" s="19">
        <f>SUMIF(tCosts[Frequency],"Annual",tCosts[[Cost Value ]])*-1</f>
        <v>-483.33333333333337</v>
      </c>
      <c r="E7" s="19">
        <f>SUMIF(tCosts[Frequency],"Annual",tCosts[[Cost Value ]])*-1</f>
        <v>-483.33333333333337</v>
      </c>
    </row>
    <row r="8" spans="1:5" ht="23.25">
      <c r="A8" s="20" t="s">
        <v>36</v>
      </c>
      <c r="B8" s="21">
        <f>0</f>
        <v>0</v>
      </c>
      <c r="C8" s="21">
        <f>'Year 1 Summary'!E9</f>
        <v>29146.923076923078</v>
      </c>
      <c r="D8" s="21">
        <f>'Year 1 Summary'!E9</f>
        <v>29146.923076923078</v>
      </c>
      <c r="E8" s="22">
        <f>'Year 1 Summary'!E9</f>
        <v>29146.923076923078</v>
      </c>
    </row>
    <row r="9" spans="1:5" ht="23.25">
      <c r="A9" s="18" t="s">
        <v>37</v>
      </c>
      <c r="B9" s="19">
        <f>B7+B8</f>
        <v>-24203.333333333332</v>
      </c>
      <c r="C9" s="19">
        <f t="shared" ref="C9:E9" si="1">C7+C8</f>
        <v>28663.589743589746</v>
      </c>
      <c r="D9" s="19">
        <f t="shared" si="1"/>
        <v>28663.589743589746</v>
      </c>
      <c r="E9" s="23">
        <f t="shared" si="1"/>
        <v>28663.589743589746</v>
      </c>
    </row>
    <row r="10" spans="1:5" s="4" customFormat="1" ht="23.25">
      <c r="A10" s="25" t="s">
        <v>38</v>
      </c>
      <c r="B10" s="26">
        <f>B9</f>
        <v>-24203.333333333332</v>
      </c>
      <c r="C10" s="26">
        <f>B10+C9</f>
        <v>4460.2564102564138</v>
      </c>
      <c r="D10" s="26">
        <f t="shared" ref="D10:E10" si="2">C10+D9</f>
        <v>33123.846153846156</v>
      </c>
      <c r="E10" s="27">
        <f t="shared" si="2"/>
        <v>61787.435897435906</v>
      </c>
    </row>
    <row r="11" spans="1:5" s="4" customFormat="1" ht="23.25">
      <c r="A11" s="28"/>
      <c r="B11" s="29"/>
      <c r="C11" s="29"/>
      <c r="D11" s="29"/>
      <c r="E11" s="29"/>
    </row>
    <row r="12" spans="1:5" ht="23.25">
      <c r="A12" s="14"/>
      <c r="B12" s="14"/>
      <c r="C12" s="14"/>
      <c r="D12" s="14"/>
      <c r="E12" s="14"/>
    </row>
    <row r="13" spans="1:5" ht="23.25">
      <c r="A13" s="30" t="s">
        <v>39</v>
      </c>
      <c r="B13" s="10">
        <v>0.15</v>
      </c>
      <c r="C13" s="14"/>
      <c r="D13" s="14"/>
      <c r="E13" s="14"/>
    </row>
    <row r="14" spans="1:5" ht="23.25">
      <c r="A14" s="30" t="s">
        <v>44</v>
      </c>
      <c r="B14" s="10">
        <v>0.25</v>
      </c>
      <c r="C14" s="14"/>
      <c r="D14" s="14"/>
      <c r="E14" s="14"/>
    </row>
    <row r="15" spans="1:5" ht="23.25">
      <c r="A15" s="8"/>
      <c r="B15" s="8"/>
      <c r="C15" s="14"/>
      <c r="D15" s="14"/>
      <c r="E15" s="14"/>
    </row>
    <row r="16" spans="1:5" ht="23.25">
      <c r="A16" s="8" t="s">
        <v>40</v>
      </c>
      <c r="B16" s="10">
        <f>IRR(B9:E9)</f>
        <v>1.0460117592169484</v>
      </c>
      <c r="C16" s="14"/>
      <c r="D16" s="14"/>
      <c r="E16" s="14"/>
    </row>
    <row r="17" spans="1:5" ht="23.25">
      <c r="A17" s="8" t="s">
        <v>41</v>
      </c>
      <c r="B17" s="31">
        <f>NPV(B13,C9:E9)+B9</f>
        <v>41242.094716056265</v>
      </c>
      <c r="C17" s="14"/>
      <c r="D17" s="14"/>
      <c r="E17" s="14"/>
    </row>
    <row r="18" spans="1:5" ht="23.25">
      <c r="A18" s="8" t="s">
        <v>42</v>
      </c>
      <c r="B18" s="32">
        <f>B7/C8*-1</f>
        <v>0.83039068204410893</v>
      </c>
      <c r="C18" s="14"/>
      <c r="D18" s="14"/>
      <c r="E18" s="14"/>
    </row>
    <row r="19" spans="1:5" ht="23.25">
      <c r="A19" s="8" t="s">
        <v>43</v>
      </c>
      <c r="B19" s="15">
        <f>-(NPV(B13,C8:E8)/(NPV(B13,C7:E7)+B7))</f>
        <v>2.6296783693547527</v>
      </c>
      <c r="C19" s="14"/>
      <c r="D19" s="14"/>
      <c r="E19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Benefits</vt:lpstr>
      <vt:lpstr>Costs</vt:lpstr>
      <vt:lpstr>Risks</vt:lpstr>
      <vt:lpstr>Year 1 Summary</vt:lpstr>
      <vt:lpstr>3 Year Summary (Direct)</vt:lpstr>
      <vt:lpstr>3 Year Summary (All)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Downs</dc:creator>
  <cp:lastModifiedBy>David Downs</cp:lastModifiedBy>
  <dcterms:created xsi:type="dcterms:W3CDTF">2009-04-26T07:27:56Z</dcterms:created>
  <dcterms:modified xsi:type="dcterms:W3CDTF">2009-04-27T21:16:33Z</dcterms:modified>
</cp:coreProperties>
</file>